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35" yWindow="-75" windowWidth="13200" windowHeight="10050" tabRatio="846" firstSheet="7" activeTab="18"/>
  </bookViews>
  <sheets>
    <sheet name="อยุธยาแก้" sheetId="2" r:id="rId1"/>
    <sheet name="ท่าเริอ แก้" sheetId="3" r:id="rId2"/>
    <sheet name="นครหลวง" sheetId="4" r:id="rId3"/>
    <sheet name="บางไทร" sheetId="5" r:id="rId4"/>
    <sheet name="บางบาล" sheetId="6" r:id="rId5"/>
    <sheet name="บางปะอิน" sheetId="7" r:id="rId6"/>
    <sheet name="บางปะหัน&quot;" sheetId="8" r:id="rId7"/>
    <sheet name="ผักไห่ แก้" sheetId="9" r:id="rId8"/>
    <sheet name="ภาชี" sheetId="10" r:id="rId9"/>
    <sheet name="ลาดบัวหลวง แก้" sheetId="11" r:id="rId10"/>
    <sheet name="วังน้อย" sheetId="12" r:id="rId11"/>
    <sheet name="เสนาแก้" sheetId="13" r:id="rId12"/>
    <sheet name="บางซ้ายแก้" sheetId="14" r:id="rId13"/>
    <sheet name="อุทัยแก้" sheetId="15" r:id="rId14"/>
    <sheet name="มหาราช" sheetId="16" r:id="rId15"/>
    <sheet name="บ้านแพรก" sheetId="17" r:id="rId16"/>
    <sheet name="พื้นที่รอยต่อ" sheetId="19" r:id="rId17"/>
    <sheet name="หน่วยบริการประจำ" sheetId="20" r:id="rId18"/>
    <sheet name="total (OK)" sheetId="22" r:id="rId19"/>
    <sheet name="pivot" sheetId="24" r:id="rId20"/>
    <sheet name="Sheet1" sheetId="25" r:id="rId21"/>
  </sheets>
  <definedNames>
    <definedName name="_xlnm._FilterDatabase" localSheetId="18" hidden="1">'total (OK)'!$A$4:$R$215</definedName>
    <definedName name="_xlnm._FilterDatabase" localSheetId="7" hidden="1">'ผักไห่ แก้'!$A$4:$O$134</definedName>
    <definedName name="_xlnm.Print_Titles" localSheetId="9">'ลาดบัวหลวง แก้'!$1:$4</definedName>
    <definedName name="sss" localSheetId="18">#REF!</definedName>
    <definedName name="sss">#REF!</definedName>
  </definedNames>
  <calcPr calcId="144525"/>
  <pivotCaches>
    <pivotCache cacheId="0" r:id="rId22"/>
    <pivotCache cacheId="1" r:id="rId23"/>
  </pivotCaches>
</workbook>
</file>

<file path=xl/calcChain.xml><?xml version="1.0" encoding="utf-8"?>
<calcChain xmlns="http://schemas.openxmlformats.org/spreadsheetml/2006/main">
  <c r="P193" i="22" l="1"/>
  <c r="P192" i="22"/>
  <c r="P191" i="22"/>
  <c r="P190" i="22"/>
  <c r="P189" i="22"/>
  <c r="P188" i="22"/>
  <c r="P187" i="22"/>
  <c r="P186" i="22"/>
  <c r="P185" i="22"/>
  <c r="P184" i="22"/>
  <c r="P182" i="22"/>
  <c r="X183" i="22"/>
  <c r="X184" i="22"/>
  <c r="X185" i="22"/>
  <c r="X186" i="22"/>
  <c r="X187" i="22"/>
  <c r="X188" i="22"/>
  <c r="X189" i="22"/>
  <c r="X190" i="22"/>
  <c r="X191" i="22"/>
  <c r="X192" i="22"/>
  <c r="X193" i="22"/>
  <c r="X182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Y182" i="22" l="1"/>
  <c r="X5" i="22"/>
  <c r="X6" i="22"/>
  <c r="Y6" i="22" s="1"/>
  <c r="X7" i="22"/>
  <c r="X8" i="22"/>
  <c r="Y8" i="22" s="1"/>
  <c r="X9" i="22"/>
  <c r="X10" i="22"/>
  <c r="X11" i="22"/>
  <c r="X12" i="22"/>
  <c r="Y12" i="22" s="1"/>
  <c r="X13" i="22"/>
  <c r="X14" i="22"/>
  <c r="Y14" i="22" s="1"/>
  <c r="X15" i="22"/>
  <c r="X16" i="22"/>
  <c r="Y16" i="22" s="1"/>
  <c r="X17" i="22"/>
  <c r="X18" i="22"/>
  <c r="X19" i="22"/>
  <c r="X20" i="22"/>
  <c r="Y20" i="22" s="1"/>
  <c r="X21" i="22"/>
  <c r="X22" i="22"/>
  <c r="Y22" i="22" s="1"/>
  <c r="X23" i="22"/>
  <c r="X24" i="22"/>
  <c r="Y24" i="22" s="1"/>
  <c r="X25" i="22"/>
  <c r="X26" i="22"/>
  <c r="X27" i="22"/>
  <c r="X28" i="22"/>
  <c r="Y28" i="22" s="1"/>
  <c r="X29" i="22"/>
  <c r="Y29" i="22" s="1"/>
  <c r="X30" i="22"/>
  <c r="X31" i="22"/>
  <c r="X32" i="22"/>
  <c r="Y32" i="22" s="1"/>
  <c r="X33" i="22"/>
  <c r="X34" i="22"/>
  <c r="Y34" i="22" s="1"/>
  <c r="X35" i="22"/>
  <c r="X36" i="22"/>
  <c r="Y36" i="22" s="1"/>
  <c r="X37" i="22"/>
  <c r="X38" i="22"/>
  <c r="X39" i="22"/>
  <c r="Y39" i="22" s="1"/>
  <c r="X40" i="22"/>
  <c r="Y40" i="22" s="1"/>
  <c r="X41" i="22"/>
  <c r="Y41" i="22" s="1"/>
  <c r="X42" i="22"/>
  <c r="Y42" i="22" s="1"/>
  <c r="X43" i="22"/>
  <c r="X44" i="22"/>
  <c r="X45" i="22"/>
  <c r="Y45" i="22" s="1"/>
  <c r="X46" i="22"/>
  <c r="Y46" i="22" s="1"/>
  <c r="X47" i="22"/>
  <c r="Y47" i="22" s="1"/>
  <c r="X48" i="22"/>
  <c r="Y48" i="22" s="1"/>
  <c r="X49" i="22"/>
  <c r="Y49" i="22" s="1"/>
  <c r="Y5" i="22"/>
  <c r="Y7" i="22"/>
  <c r="Y9" i="22"/>
  <c r="Y10" i="22"/>
  <c r="Y11" i="22"/>
  <c r="Y13" i="22"/>
  <c r="Y15" i="22"/>
  <c r="Y17" i="22"/>
  <c r="Y18" i="22"/>
  <c r="Y19" i="22"/>
  <c r="Y21" i="22"/>
  <c r="Y23" i="22"/>
  <c r="Y25" i="22"/>
  <c r="Y26" i="22"/>
  <c r="Y27" i="22"/>
  <c r="Y30" i="22"/>
  <c r="Y31" i="22"/>
  <c r="Y33" i="22"/>
  <c r="Y35" i="22"/>
  <c r="Y37" i="22"/>
  <c r="Y38" i="22"/>
  <c r="Y43" i="22"/>
  <c r="Y44" i="22"/>
  <c r="X206" i="22"/>
  <c r="X207" i="22"/>
  <c r="Y207" i="22" s="1"/>
  <c r="X208" i="22"/>
  <c r="Y208" i="22" s="1"/>
  <c r="X209" i="22"/>
  <c r="Y209" i="22" s="1"/>
  <c r="Y206" i="22"/>
  <c r="X176" i="22"/>
  <c r="X177" i="22"/>
  <c r="X178" i="22"/>
  <c r="X179" i="22"/>
  <c r="X180" i="22"/>
  <c r="X181" i="22"/>
  <c r="X158" i="22"/>
  <c r="X159" i="22"/>
  <c r="X160" i="22"/>
  <c r="X161" i="22"/>
  <c r="X162" i="22"/>
  <c r="X163" i="22"/>
  <c r="X164" i="22"/>
  <c r="X165" i="22"/>
  <c r="X120" i="22"/>
  <c r="Y120" i="22" s="1"/>
  <c r="X121" i="22"/>
  <c r="Y121" i="22" s="1"/>
  <c r="X122" i="22"/>
  <c r="Y122" i="22" s="1"/>
  <c r="X123" i="22"/>
  <c r="Y123" i="22" s="1"/>
  <c r="X124" i="22"/>
  <c r="Y124" i="22" s="1"/>
  <c r="X125" i="22"/>
  <c r="Y125" i="22" s="1"/>
  <c r="X126" i="22"/>
  <c r="Y126" i="22" s="1"/>
  <c r="X127" i="22"/>
  <c r="Y127" i="22" s="1"/>
  <c r="X128" i="22"/>
  <c r="Y128" i="22" s="1"/>
  <c r="X129" i="22"/>
  <c r="Y129" i="22" s="1"/>
  <c r="X130" i="22"/>
  <c r="Y130" i="22" s="1"/>
  <c r="X131" i="22"/>
  <c r="Y131" i="22" s="1"/>
  <c r="X132" i="22"/>
  <c r="Y132" i="22" s="1"/>
  <c r="X133" i="22"/>
  <c r="Y133" i="22" s="1"/>
  <c r="X134" i="22"/>
  <c r="Y134" i="22" s="1"/>
  <c r="X135" i="22"/>
  <c r="Y135" i="22" s="1"/>
  <c r="X51" i="22"/>
  <c r="X52" i="22"/>
  <c r="X53" i="22"/>
  <c r="X54" i="22"/>
  <c r="X55" i="22"/>
  <c r="X56" i="22"/>
  <c r="X57" i="22"/>
  <c r="X58" i="22"/>
  <c r="X59" i="22"/>
  <c r="X60" i="22"/>
  <c r="X61" i="22"/>
  <c r="X50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X64" i="22"/>
  <c r="X63" i="22"/>
  <c r="X62" i="22"/>
  <c r="X66" i="22"/>
  <c r="Y66" i="22" s="1"/>
  <c r="X67" i="22"/>
  <c r="X68" i="22"/>
  <c r="Y68" i="22" s="1"/>
  <c r="X69" i="22"/>
  <c r="X70" i="22"/>
  <c r="Y70" i="22" s="1"/>
  <c r="X71" i="22"/>
  <c r="X72" i="22"/>
  <c r="Y72" i="22" s="1"/>
  <c r="X73" i="22"/>
  <c r="X74" i="22"/>
  <c r="Y74" i="22" s="1"/>
  <c r="X75" i="22"/>
  <c r="Y75" i="22" s="1"/>
  <c r="X76" i="22"/>
  <c r="X77" i="22"/>
  <c r="X78" i="22"/>
  <c r="Y78" i="22" s="1"/>
  <c r="X79" i="22"/>
  <c r="X80" i="22"/>
  <c r="X81" i="22"/>
  <c r="X82" i="22"/>
  <c r="Y82" i="22" s="1"/>
  <c r="X83" i="22"/>
  <c r="X84" i="22"/>
  <c r="Y84" i="22" s="1"/>
  <c r="X65" i="22"/>
  <c r="Y81" i="22" l="1"/>
  <c r="Y77" i="22"/>
  <c r="Y83" i="22"/>
  <c r="Y80" i="22"/>
  <c r="Y79" i="22"/>
  <c r="Y76" i="22"/>
  <c r="Y73" i="22"/>
  <c r="Y71" i="22"/>
  <c r="Y69" i="22"/>
  <c r="Y67" i="22"/>
  <c r="Y65" i="22"/>
  <c r="Y64" i="22"/>
  <c r="Y63" i="22"/>
  <c r="Y62" i="22"/>
  <c r="X152" i="22" l="1"/>
  <c r="X153" i="22"/>
  <c r="X154" i="22"/>
  <c r="X155" i="22"/>
  <c r="X156" i="22"/>
  <c r="X157" i="22"/>
  <c r="X151" i="22"/>
  <c r="X101" i="22"/>
  <c r="X102" i="22"/>
  <c r="X103" i="22"/>
  <c r="X104" i="22"/>
  <c r="X105" i="22"/>
  <c r="X106" i="22"/>
  <c r="X107" i="22"/>
  <c r="X108" i="22"/>
  <c r="X109" i="22"/>
  <c r="X110" i="22"/>
  <c r="X111" i="22"/>
  <c r="X112" i="22"/>
  <c r="X113" i="22"/>
  <c r="X114" i="22"/>
  <c r="X115" i="22"/>
  <c r="X116" i="22"/>
  <c r="X117" i="22"/>
  <c r="X118" i="22"/>
  <c r="X119" i="22"/>
  <c r="X100" i="22"/>
  <c r="X167" i="22" l="1"/>
  <c r="X168" i="22"/>
  <c r="X169" i="22"/>
  <c r="X170" i="22"/>
  <c r="X171" i="22"/>
  <c r="X172" i="22"/>
  <c r="X173" i="22"/>
  <c r="X174" i="22"/>
  <c r="X175" i="22"/>
  <c r="X166" i="22"/>
  <c r="X86" i="22"/>
  <c r="X87" i="22"/>
  <c r="X88" i="22"/>
  <c r="X89" i="22"/>
  <c r="X90" i="22"/>
  <c r="X91" i="22"/>
  <c r="X92" i="22"/>
  <c r="X93" i="22"/>
  <c r="X94" i="22"/>
  <c r="X95" i="22"/>
  <c r="X96" i="22"/>
  <c r="X97" i="22"/>
  <c r="X98" i="22"/>
  <c r="X99" i="22"/>
  <c r="X85" i="22"/>
  <c r="R10" i="24"/>
  <c r="P205" i="22"/>
  <c r="P204" i="22"/>
  <c r="P203" i="22"/>
  <c r="P202" i="22"/>
  <c r="P201" i="22"/>
  <c r="P200" i="22"/>
  <c r="P199" i="22"/>
  <c r="P198" i="22"/>
  <c r="P197" i="22"/>
  <c r="P196" i="22"/>
  <c r="P195" i="22"/>
  <c r="X195" i="22"/>
  <c r="X196" i="22"/>
  <c r="X197" i="22"/>
  <c r="Y197" i="22" s="1"/>
  <c r="X198" i="22"/>
  <c r="Y198" i="22" s="1"/>
  <c r="X199" i="22"/>
  <c r="X200" i="22"/>
  <c r="X201" i="22"/>
  <c r="Y201" i="22" s="1"/>
  <c r="X202" i="22"/>
  <c r="Y202" i="22" s="1"/>
  <c r="X203" i="22"/>
  <c r="X204" i="22"/>
  <c r="X205" i="22"/>
  <c r="Y205" i="22" s="1"/>
  <c r="X194" i="22"/>
  <c r="Y194" i="22" s="1"/>
  <c r="P194" i="22"/>
  <c r="Y204" i="22" l="1"/>
  <c r="Y200" i="22"/>
  <c r="Y196" i="22"/>
  <c r="Y203" i="22"/>
  <c r="Y199" i="22"/>
  <c r="Y195" i="22"/>
  <c r="P150" i="22"/>
  <c r="P141" i="22" l="1"/>
  <c r="X137" i="22"/>
  <c r="X138" i="22"/>
  <c r="X139" i="22"/>
  <c r="X140" i="22"/>
  <c r="X141" i="22"/>
  <c r="Y141" i="22" s="1"/>
  <c r="X142" i="22"/>
  <c r="X143" i="22"/>
  <c r="X144" i="22"/>
  <c r="X145" i="22"/>
  <c r="X146" i="22"/>
  <c r="X147" i="22"/>
  <c r="X148" i="22"/>
  <c r="X149" i="22"/>
  <c r="X150" i="22"/>
  <c r="Y150" i="22" s="1"/>
  <c r="X136" i="22"/>
  <c r="Y136" i="22" s="1"/>
  <c r="P136" i="22"/>
  <c r="Y139" i="22" l="1"/>
  <c r="Y145" i="22"/>
  <c r="Y137" i="22"/>
  <c r="Y144" i="22"/>
  <c r="P137" i="22"/>
  <c r="P149" i="22"/>
  <c r="Y149" i="22" s="1"/>
  <c r="P148" i="22"/>
  <c r="Y148" i="22" s="1"/>
  <c r="P146" i="22"/>
  <c r="Y146" i="22" s="1"/>
  <c r="P145" i="22"/>
  <c r="P144" i="22"/>
  <c r="P143" i="22"/>
  <c r="Y143" i="22" s="1"/>
  <c r="P140" i="22"/>
  <c r="Y140" i="22" s="1"/>
  <c r="P139" i="22"/>
  <c r="P138" i="22"/>
  <c r="Y138" i="22" s="1"/>
  <c r="P147" i="22"/>
  <c r="Y147" i="22" s="1"/>
  <c r="P142" i="22"/>
  <c r="Y142" i="22" s="1"/>
  <c r="V211" i="22" l="1"/>
  <c r="U211" i="22"/>
  <c r="W211" i="22"/>
  <c r="Y190" i="22" l="1"/>
  <c r="Y189" i="22"/>
  <c r="Y185" i="22"/>
  <c r="Y193" i="22"/>
  <c r="Y188" i="22"/>
  <c r="Y186" i="22"/>
  <c r="Y192" i="22"/>
  <c r="Y184" i="22"/>
  <c r="Y191" i="22"/>
  <c r="Y187" i="22"/>
  <c r="Y183" i="22"/>
  <c r="Y211" i="22" s="1"/>
  <c r="X211" i="22"/>
  <c r="P89" i="22"/>
  <c r="Y89" i="22" s="1"/>
  <c r="P92" i="22"/>
  <c r="Y92" i="22" s="1"/>
  <c r="P88" i="22"/>
  <c r="Y88" i="22" s="1"/>
  <c r="P98" i="22"/>
  <c r="Y98" i="22" s="1"/>
  <c r="P90" i="22"/>
  <c r="Y90" i="22" s="1"/>
  <c r="P97" i="22"/>
  <c r="Y97" i="22" s="1"/>
  <c r="P91" i="22"/>
  <c r="Y91" i="22" s="1"/>
  <c r="P96" i="22"/>
  <c r="Y96" i="22" s="1"/>
  <c r="P95" i="22"/>
  <c r="Y95" i="22" s="1"/>
  <c r="P93" i="22"/>
  <c r="Y93" i="22" s="1"/>
  <c r="P94" i="22"/>
  <c r="Y94" i="22" s="1"/>
  <c r="P99" i="22"/>
  <c r="Y99" i="22" s="1"/>
  <c r="P87" i="22"/>
  <c r="Y87" i="22" s="1"/>
  <c r="P86" i="22"/>
  <c r="Y86" i="22" s="1"/>
  <c r="P85" i="22"/>
  <c r="Y85" i="22" s="1"/>
  <c r="P156" i="22" l="1"/>
  <c r="Y156" i="22" s="1"/>
  <c r="P154" i="22"/>
  <c r="Y154" i="22" s="1"/>
  <c r="P152" i="22"/>
  <c r="Y152" i="22" s="1"/>
  <c r="P151" i="22"/>
  <c r="Y151" i="22" s="1"/>
  <c r="P181" i="22" l="1"/>
  <c r="Y181" i="22" s="1"/>
  <c r="P180" i="22"/>
  <c r="Y180" i="22" s="1"/>
  <c r="P179" i="22"/>
  <c r="Y179" i="22" s="1"/>
  <c r="P178" i="22"/>
  <c r="Y178" i="22" s="1"/>
  <c r="P177" i="22"/>
  <c r="Y177" i="22" s="1"/>
  <c r="P176" i="22"/>
  <c r="Y176" i="22" s="1"/>
  <c r="J126" i="22" l="1"/>
  <c r="L43" i="8"/>
  <c r="M43" i="8"/>
  <c r="N43" i="8"/>
  <c r="O43" i="8"/>
  <c r="K43" i="8"/>
  <c r="L12" i="8"/>
  <c r="M12" i="8"/>
  <c r="N12" i="8"/>
  <c r="O12" i="8"/>
  <c r="K12" i="8"/>
  <c r="P174" i="22" l="1"/>
  <c r="Y174" i="22" s="1"/>
  <c r="P171" i="22"/>
  <c r="Y171" i="22" s="1"/>
  <c r="P169" i="22"/>
  <c r="Y169" i="22" s="1"/>
  <c r="P170" i="22"/>
  <c r="Y170" i="22" s="1"/>
  <c r="P166" i="22"/>
  <c r="Y166" i="22" s="1"/>
  <c r="P168" i="22"/>
  <c r="Y168" i="22" s="1"/>
  <c r="P167" i="22"/>
  <c r="Y167" i="22" s="1"/>
  <c r="P109" i="22" l="1"/>
  <c r="Y109" i="22" s="1"/>
  <c r="P61" i="22" l="1"/>
  <c r="Y61" i="22" s="1"/>
  <c r="P60" i="22"/>
  <c r="Y60" i="22" s="1"/>
  <c r="P59" i="22"/>
  <c r="Y59" i="22" s="1"/>
  <c r="P58" i="22"/>
  <c r="Y58" i="22" s="1"/>
  <c r="P57" i="22"/>
  <c r="Y57" i="22" s="1"/>
  <c r="P56" i="22"/>
  <c r="Y56" i="22" s="1"/>
  <c r="P55" i="22"/>
  <c r="Y55" i="22" s="1"/>
  <c r="P54" i="22"/>
  <c r="Y54" i="22" s="1"/>
  <c r="P53" i="22"/>
  <c r="Y53" i="22" s="1"/>
  <c r="P52" i="22"/>
  <c r="Y52" i="22" s="1"/>
  <c r="P51" i="22"/>
  <c r="Y51" i="22" s="1"/>
  <c r="P50" i="22"/>
  <c r="Y50" i="22" s="1"/>
  <c r="P119" i="22" l="1"/>
  <c r="Y119" i="22" s="1"/>
  <c r="P118" i="22"/>
  <c r="Y118" i="22" s="1"/>
  <c r="P117" i="22"/>
  <c r="Y117" i="22" s="1"/>
  <c r="P116" i="22"/>
  <c r="Y116" i="22" s="1"/>
  <c r="P115" i="22"/>
  <c r="Y115" i="22" s="1"/>
  <c r="P114" i="22"/>
  <c r="Y114" i="22" s="1"/>
  <c r="P113" i="22"/>
  <c r="Y113" i="22" s="1"/>
  <c r="P112" i="22"/>
  <c r="Y112" i="22" s="1"/>
  <c r="P111" i="22"/>
  <c r="Y111" i="22" s="1"/>
  <c r="P110" i="22"/>
  <c r="Y110" i="22" s="1"/>
  <c r="P108" i="22"/>
  <c r="Y108" i="22" s="1"/>
  <c r="P107" i="22"/>
  <c r="Y107" i="22" s="1"/>
  <c r="P106" i="22"/>
  <c r="Y106" i="22" s="1"/>
  <c r="P105" i="22"/>
  <c r="Y105" i="22" s="1"/>
  <c r="P104" i="22"/>
  <c r="Y104" i="22" s="1"/>
  <c r="P103" i="22"/>
  <c r="Y103" i="22" s="1"/>
  <c r="P102" i="22"/>
  <c r="Y102" i="22" s="1"/>
  <c r="P101" i="22"/>
  <c r="Y101" i="22" s="1"/>
  <c r="P100" i="22"/>
  <c r="Y100" i="22" s="1"/>
  <c r="P157" i="22" l="1"/>
  <c r="Y157" i="22" s="1"/>
  <c r="P155" i="22"/>
  <c r="Y155" i="22" s="1"/>
  <c r="P153" i="22"/>
  <c r="Y153" i="22" s="1"/>
  <c r="P164" i="22" l="1"/>
  <c r="Y164" i="22" s="1"/>
  <c r="P163" i="22"/>
  <c r="Y163" i="22" s="1"/>
  <c r="P162" i="22"/>
  <c r="Y162" i="22" s="1"/>
  <c r="P161" i="22"/>
  <c r="Y161" i="22" s="1"/>
  <c r="P160" i="22"/>
  <c r="Y160" i="22" s="1"/>
  <c r="P159" i="22"/>
  <c r="Y159" i="22" s="1"/>
  <c r="P158" i="22"/>
  <c r="Y158" i="22" s="1"/>
  <c r="P165" i="22"/>
  <c r="Y165" i="22" s="1"/>
  <c r="D1" i="24" l="1"/>
  <c r="L4" i="24" l="1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N14" i="24"/>
  <c r="P175" i="22" l="1"/>
  <c r="Y175" i="22" s="1"/>
  <c r="P173" i="22"/>
  <c r="Y173" i="22" s="1"/>
  <c r="P172" i="22"/>
  <c r="Y172" i="22" s="1"/>
  <c r="K166" i="2" l="1"/>
  <c r="K162" i="2"/>
  <c r="K49" i="2"/>
  <c r="K144" i="2"/>
  <c r="K138" i="2"/>
  <c r="L138" i="2"/>
  <c r="M138" i="2"/>
  <c r="N138" i="2"/>
  <c r="O138" i="2"/>
  <c r="K134" i="2"/>
  <c r="K127" i="2"/>
  <c r="K118" i="2"/>
  <c r="L112" i="2"/>
  <c r="M112" i="2"/>
  <c r="N112" i="2"/>
  <c r="O112" i="2"/>
  <c r="K112" i="2"/>
  <c r="K106" i="2"/>
  <c r="K101" i="2"/>
  <c r="L88" i="2"/>
  <c r="M88" i="2"/>
  <c r="N88" i="2"/>
  <c r="O88" i="2"/>
  <c r="K88" i="2"/>
  <c r="K85" i="2"/>
  <c r="L85" i="2"/>
  <c r="M85" i="2"/>
  <c r="N85" i="2"/>
  <c r="O85" i="2"/>
  <c r="K53" i="2"/>
  <c r="L53" i="2"/>
  <c r="M53" i="2"/>
  <c r="N53" i="2"/>
  <c r="O53" i="2"/>
  <c r="L49" i="2"/>
  <c r="M49" i="2"/>
  <c r="N49" i="2"/>
  <c r="O49" i="2"/>
  <c r="L111" i="15"/>
  <c r="M111" i="15"/>
  <c r="N111" i="15"/>
  <c r="O111" i="15"/>
  <c r="K111" i="15"/>
  <c r="L105" i="15"/>
  <c r="M105" i="15"/>
  <c r="N105" i="15"/>
  <c r="O105" i="15"/>
  <c r="K105" i="15"/>
  <c r="L100" i="15"/>
  <c r="M100" i="15"/>
  <c r="N100" i="15"/>
  <c r="O100" i="15"/>
  <c r="K100" i="15"/>
  <c r="L91" i="15"/>
  <c r="M91" i="15"/>
  <c r="N91" i="15"/>
  <c r="O91" i="15"/>
  <c r="K91" i="15"/>
  <c r="K79" i="15"/>
  <c r="K71" i="15"/>
  <c r="K64" i="15"/>
  <c r="K58" i="15"/>
  <c r="K49" i="15"/>
  <c r="K37" i="15"/>
  <c r="K27" i="15"/>
  <c r="K20" i="15"/>
  <c r="K11" i="15"/>
  <c r="L11" i="15"/>
  <c r="M11" i="15"/>
  <c r="N11" i="15"/>
  <c r="O11" i="15"/>
  <c r="K13" i="13" l="1"/>
  <c r="K140" i="13"/>
  <c r="K134" i="13"/>
  <c r="K128" i="13"/>
  <c r="K122" i="13"/>
  <c r="K113" i="13"/>
  <c r="K103" i="13"/>
  <c r="K96" i="13"/>
  <c r="K90" i="13"/>
  <c r="K80" i="13"/>
  <c r="K73" i="13"/>
  <c r="K61" i="13"/>
  <c r="K56" i="13"/>
  <c r="L22" i="13"/>
  <c r="M22" i="13"/>
  <c r="N22" i="13"/>
  <c r="O22" i="13"/>
  <c r="K22" i="13"/>
  <c r="L128" i="13"/>
  <c r="M128" i="13"/>
  <c r="N128" i="13"/>
  <c r="O128" i="13"/>
  <c r="L96" i="13"/>
  <c r="M96" i="13"/>
  <c r="N96" i="13"/>
  <c r="O96" i="13"/>
  <c r="K30" i="13"/>
  <c r="K20" i="13"/>
  <c r="K30" i="14" l="1"/>
  <c r="K13" i="14"/>
  <c r="L13" i="14"/>
  <c r="M13" i="14"/>
  <c r="N13" i="14"/>
  <c r="O13" i="14"/>
  <c r="L57" i="14"/>
  <c r="M57" i="14"/>
  <c r="N57" i="14"/>
  <c r="O57" i="14"/>
  <c r="K57" i="14"/>
  <c r="L43" i="14"/>
  <c r="M43" i="14"/>
  <c r="N43" i="14"/>
  <c r="O43" i="14"/>
  <c r="K43" i="14"/>
  <c r="K35" i="14"/>
  <c r="L35" i="14"/>
  <c r="M35" i="14"/>
  <c r="N35" i="14"/>
  <c r="O35" i="14"/>
  <c r="L30" i="14"/>
  <c r="M30" i="14"/>
  <c r="N30" i="14"/>
  <c r="O30" i="14"/>
  <c r="K19" i="14"/>
  <c r="K132" i="9"/>
  <c r="K126" i="9"/>
  <c r="K119" i="9"/>
  <c r="K109" i="9"/>
  <c r="K98" i="9"/>
  <c r="K92" i="9"/>
  <c r="K87" i="9"/>
  <c r="K82" i="9"/>
  <c r="K70" i="9"/>
  <c r="O62" i="9"/>
  <c r="K62" i="9"/>
  <c r="K56" i="9"/>
  <c r="L48" i="9"/>
  <c r="M48" i="9"/>
  <c r="N48" i="9"/>
  <c r="O48" i="9"/>
  <c r="K48" i="9"/>
  <c r="K41" i="9" l="1"/>
  <c r="L41" i="9"/>
  <c r="M41" i="9"/>
  <c r="N41" i="9"/>
  <c r="O41" i="9"/>
  <c r="K35" i="9"/>
  <c r="K27" i="9"/>
  <c r="K16" i="9"/>
  <c r="L16" i="9"/>
  <c r="M16" i="9"/>
  <c r="N16" i="9"/>
  <c r="O16" i="9"/>
  <c r="O31" i="3" l="1"/>
  <c r="O25" i="3"/>
  <c r="L31" i="3"/>
  <c r="M31" i="3"/>
  <c r="N31" i="3"/>
  <c r="K31" i="3"/>
  <c r="L15" i="3"/>
  <c r="M15" i="3"/>
  <c r="N15" i="3"/>
  <c r="O15" i="3"/>
  <c r="K15" i="3"/>
  <c r="F91" i="3"/>
  <c r="K25" i="3"/>
  <c r="L90" i="3"/>
  <c r="M90" i="3"/>
  <c r="N90" i="3"/>
  <c r="O90" i="3"/>
  <c r="K90" i="3"/>
  <c r="K81" i="3"/>
  <c r="L81" i="3"/>
  <c r="M81" i="3"/>
  <c r="N81" i="3"/>
  <c r="O81" i="3"/>
  <c r="L71" i="3"/>
  <c r="M71" i="3"/>
  <c r="N71" i="3"/>
  <c r="O71" i="3"/>
  <c r="K71" i="3"/>
  <c r="L63" i="3"/>
  <c r="M63" i="3"/>
  <c r="N63" i="3"/>
  <c r="O63" i="3"/>
  <c r="K63" i="3"/>
  <c r="L60" i="3"/>
  <c r="M60" i="3"/>
  <c r="N60" i="3"/>
  <c r="O60" i="3"/>
  <c r="K60" i="3"/>
  <c r="K57" i="3"/>
  <c r="L49" i="3"/>
  <c r="M49" i="3"/>
  <c r="N49" i="3"/>
  <c r="O49" i="3"/>
  <c r="K49" i="3"/>
  <c r="L42" i="3"/>
  <c r="M42" i="3"/>
  <c r="N42" i="3"/>
  <c r="O42" i="3"/>
  <c r="K42" i="3"/>
  <c r="L34" i="3"/>
  <c r="M34" i="3"/>
  <c r="N34" i="3"/>
  <c r="O34" i="3"/>
  <c r="K34" i="3"/>
  <c r="L25" i="3"/>
  <c r="M25" i="3"/>
  <c r="N25" i="3"/>
  <c r="L20" i="3"/>
  <c r="M20" i="3"/>
  <c r="N20" i="3"/>
  <c r="O20" i="3"/>
  <c r="K20" i="3"/>
  <c r="P62" i="11" l="1"/>
  <c r="P57" i="11"/>
  <c r="P48" i="11"/>
  <c r="P43" i="11"/>
  <c r="P37" i="11"/>
  <c r="P27" i="11"/>
  <c r="P23" i="11"/>
  <c r="P13" i="11"/>
  <c r="P31" i="11"/>
  <c r="L31" i="11"/>
  <c r="M31" i="11"/>
  <c r="N31" i="11"/>
  <c r="O31" i="11"/>
  <c r="K31" i="11"/>
  <c r="K13" i="11" l="1"/>
  <c r="K62" i="11"/>
  <c r="C64" i="11"/>
  <c r="F63" i="11"/>
  <c r="K48" i="11"/>
  <c r="K43" i="11"/>
  <c r="K27" i="11"/>
  <c r="J158" i="22"/>
  <c r="O158" i="22" s="1"/>
  <c r="K23" i="11"/>
  <c r="L62" i="11" l="1"/>
  <c r="M62" i="11"/>
  <c r="N62" i="11"/>
  <c r="O62" i="11"/>
  <c r="K57" i="11"/>
  <c r="L57" i="11"/>
  <c r="M57" i="11"/>
  <c r="N57" i="11"/>
  <c r="O57" i="11"/>
  <c r="L48" i="11"/>
  <c r="M48" i="11"/>
  <c r="N48" i="11"/>
  <c r="O48" i="11"/>
  <c r="L43" i="11"/>
  <c r="M43" i="11"/>
  <c r="N43" i="11"/>
  <c r="O43" i="11"/>
  <c r="K37" i="11"/>
  <c r="L27" i="11"/>
  <c r="M27" i="11"/>
  <c r="N27" i="11"/>
  <c r="O27" i="11"/>
  <c r="L23" i="11"/>
  <c r="M23" i="11"/>
  <c r="N23" i="11"/>
  <c r="O23" i="11"/>
  <c r="L13" i="11"/>
  <c r="M13" i="11"/>
  <c r="N13" i="11"/>
  <c r="O13" i="11"/>
  <c r="L37" i="11"/>
  <c r="M37" i="11"/>
  <c r="N37" i="11"/>
  <c r="O37" i="11"/>
  <c r="J136" i="22"/>
  <c r="K136" i="22" l="1"/>
  <c r="O136" i="22"/>
  <c r="Q158" i="22" l="1"/>
  <c r="Q136" i="22"/>
  <c r="N210" i="22" l="1"/>
  <c r="M210" i="22"/>
  <c r="L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4" i="22"/>
  <c r="J196" i="22"/>
  <c r="J195" i="22"/>
  <c r="J193" i="22"/>
  <c r="J192" i="22"/>
  <c r="J191" i="22"/>
  <c r="J190" i="22"/>
  <c r="J189" i="22"/>
  <c r="J188" i="22"/>
  <c r="J182" i="22"/>
  <c r="J187" i="22"/>
  <c r="J186" i="22"/>
  <c r="J185" i="22"/>
  <c r="J184" i="22"/>
  <c r="J183" i="22"/>
  <c r="J181" i="22"/>
  <c r="J180" i="22"/>
  <c r="J179" i="22"/>
  <c r="J178" i="22"/>
  <c r="J177" i="22"/>
  <c r="J176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175" i="22"/>
  <c r="J174" i="22"/>
  <c r="J173" i="22"/>
  <c r="J172" i="22"/>
  <c r="J171" i="22"/>
  <c r="J170" i="22"/>
  <c r="J169" i="22"/>
  <c r="J166" i="22"/>
  <c r="J168" i="22"/>
  <c r="J167" i="22"/>
  <c r="J164" i="22"/>
  <c r="O164" i="22" s="1"/>
  <c r="J163" i="22"/>
  <c r="O163" i="22" s="1"/>
  <c r="J162" i="22"/>
  <c r="O162" i="22" s="1"/>
  <c r="J161" i="22"/>
  <c r="O161" i="22" s="1"/>
  <c r="J160" i="22"/>
  <c r="O160" i="22" s="1"/>
  <c r="J159" i="22"/>
  <c r="O159" i="22" s="1"/>
  <c r="K158" i="22"/>
  <c r="J165" i="22"/>
  <c r="O165" i="22" s="1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5" i="22"/>
  <c r="J134" i="22"/>
  <c r="J133" i="22"/>
  <c r="J132" i="22"/>
  <c r="J131" i="22"/>
  <c r="J130" i="22"/>
  <c r="J129" i="22"/>
  <c r="J128" i="22"/>
  <c r="J127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K5" i="22" s="1"/>
  <c r="K9" i="22" l="1"/>
  <c r="O9" i="22"/>
  <c r="Q9" i="22" s="1"/>
  <c r="K13" i="22"/>
  <c r="O13" i="22"/>
  <c r="Q13" i="22" s="1"/>
  <c r="K21" i="22"/>
  <c r="O21" i="22"/>
  <c r="Q21" i="22" s="1"/>
  <c r="K44" i="22"/>
  <c r="O44" i="22"/>
  <c r="Q44" i="22" s="1"/>
  <c r="K56" i="22"/>
  <c r="O56" i="22"/>
  <c r="Q56" i="22" s="1"/>
  <c r="K64" i="22"/>
  <c r="O64" i="22"/>
  <c r="Q64" i="22" s="1"/>
  <c r="K72" i="22"/>
  <c r="O72" i="22"/>
  <c r="Q72" i="22" s="1"/>
  <c r="K80" i="22"/>
  <c r="O80" i="22"/>
  <c r="Q80" i="22" s="1"/>
  <c r="K88" i="22"/>
  <c r="O88" i="22"/>
  <c r="Q88" i="22" s="1"/>
  <c r="K96" i="22"/>
  <c r="O96" i="22"/>
  <c r="Q96" i="22" s="1"/>
  <c r="K104" i="22"/>
  <c r="O104" i="22"/>
  <c r="Q104" i="22" s="1"/>
  <c r="K108" i="22"/>
  <c r="O108" i="22"/>
  <c r="Q108" i="22" s="1"/>
  <c r="K112" i="22"/>
  <c r="O112" i="22"/>
  <c r="Q112" i="22" s="1"/>
  <c r="K116" i="22"/>
  <c r="O116" i="22"/>
  <c r="Q116" i="22" s="1"/>
  <c r="K120" i="22"/>
  <c r="O120" i="22"/>
  <c r="Q120" i="22" s="1"/>
  <c r="K124" i="22"/>
  <c r="O124" i="22"/>
  <c r="Q124" i="22" s="1"/>
  <c r="O5" i="22"/>
  <c r="Q5" i="22" s="1"/>
  <c r="K17" i="22"/>
  <c r="O17" i="22"/>
  <c r="Q17" i="22" s="1"/>
  <c r="K40" i="22"/>
  <c r="O40" i="22"/>
  <c r="Q40" i="22" s="1"/>
  <c r="K48" i="22"/>
  <c r="O48" i="22"/>
  <c r="Q48" i="22" s="1"/>
  <c r="K52" i="22"/>
  <c r="O52" i="22"/>
  <c r="Q52" i="22" s="1"/>
  <c r="K60" i="22"/>
  <c r="O60" i="22"/>
  <c r="Q60" i="22" s="1"/>
  <c r="K68" i="22"/>
  <c r="O68" i="22"/>
  <c r="Q68" i="22" s="1"/>
  <c r="K76" i="22"/>
  <c r="O76" i="22"/>
  <c r="Q76" i="22" s="1"/>
  <c r="K84" i="22"/>
  <c r="O84" i="22"/>
  <c r="Q84" i="22" s="1"/>
  <c r="K92" i="22"/>
  <c r="O92" i="22"/>
  <c r="Q92" i="22" s="1"/>
  <c r="K100" i="22"/>
  <c r="O100" i="22"/>
  <c r="Q100" i="22" s="1"/>
  <c r="K128" i="22"/>
  <c r="O128" i="22"/>
  <c r="Q128" i="22" s="1"/>
  <c r="K24" i="22"/>
  <c r="O24" i="22"/>
  <c r="Q24" i="22" s="1"/>
  <c r="K168" i="22"/>
  <c r="O168" i="22"/>
  <c r="Q168" i="22" s="1"/>
  <c r="K171" i="22"/>
  <c r="O171" i="22"/>
  <c r="Q171" i="22" s="1"/>
  <c r="K175" i="22"/>
  <c r="O175" i="22"/>
  <c r="Q175" i="22" s="1"/>
  <c r="K26" i="22"/>
  <c r="O26" i="22"/>
  <c r="Q26" i="22" s="1"/>
  <c r="K30" i="22"/>
  <c r="O30" i="22"/>
  <c r="Q30" i="22" s="1"/>
  <c r="K34" i="22"/>
  <c r="O34" i="22"/>
  <c r="Q34" i="22" s="1"/>
  <c r="K176" i="22"/>
  <c r="O176" i="22"/>
  <c r="Q176" i="22" s="1"/>
  <c r="K180" i="22"/>
  <c r="O180" i="22"/>
  <c r="Q180" i="22" s="1"/>
  <c r="K185" i="22"/>
  <c r="O185" i="22"/>
  <c r="Q185" i="22" s="1"/>
  <c r="K188" i="22"/>
  <c r="O188" i="22"/>
  <c r="Q188" i="22" s="1"/>
  <c r="K192" i="22"/>
  <c r="O192" i="22"/>
  <c r="Q192" i="22" s="1"/>
  <c r="K194" i="22"/>
  <c r="O194" i="22"/>
  <c r="Q194" i="22" s="1"/>
  <c r="K200" i="22"/>
  <c r="O200" i="22"/>
  <c r="Q200" i="22" s="1"/>
  <c r="K204" i="22"/>
  <c r="O204" i="22"/>
  <c r="Q204" i="22" s="1"/>
  <c r="K208" i="22"/>
  <c r="O208" i="22"/>
  <c r="Q208" i="22" s="1"/>
  <c r="K132" i="22"/>
  <c r="O132" i="22"/>
  <c r="Q132" i="22" s="1"/>
  <c r="K137" i="22"/>
  <c r="O137" i="22"/>
  <c r="Q137" i="22" s="1"/>
  <c r="K141" i="22"/>
  <c r="O141" i="22"/>
  <c r="Q141" i="22" s="1"/>
  <c r="K145" i="22"/>
  <c r="O145" i="22"/>
  <c r="Q145" i="22" s="1"/>
  <c r="K149" i="22"/>
  <c r="O149" i="22"/>
  <c r="Q149" i="22" s="1"/>
  <c r="K153" i="22"/>
  <c r="O153" i="22"/>
  <c r="Q153" i="22" s="1"/>
  <c r="K157" i="22"/>
  <c r="O157" i="22"/>
  <c r="Q157" i="22" s="1"/>
  <c r="K169" i="22"/>
  <c r="O169" i="22"/>
  <c r="Q169" i="22" s="1"/>
  <c r="K173" i="22"/>
  <c r="O173" i="22"/>
  <c r="Q173" i="22" s="1"/>
  <c r="K28" i="22"/>
  <c r="O28" i="22"/>
  <c r="Q28" i="22" s="1"/>
  <c r="K32" i="22"/>
  <c r="O32" i="22"/>
  <c r="Q32" i="22" s="1"/>
  <c r="K36" i="22"/>
  <c r="O36" i="22"/>
  <c r="Q36" i="22" s="1"/>
  <c r="K178" i="22"/>
  <c r="O178" i="22"/>
  <c r="Q178" i="22" s="1"/>
  <c r="K183" i="22"/>
  <c r="O183" i="22"/>
  <c r="Q183" i="22" s="1"/>
  <c r="K187" i="22"/>
  <c r="O187" i="22"/>
  <c r="Q187" i="22" s="1"/>
  <c r="K190" i="22"/>
  <c r="O190" i="22"/>
  <c r="Q190" i="22" s="1"/>
  <c r="K195" i="22"/>
  <c r="O195" i="22"/>
  <c r="Q195" i="22" s="1"/>
  <c r="K198" i="22"/>
  <c r="O198" i="22"/>
  <c r="Q198" i="22" s="1"/>
  <c r="K202" i="22"/>
  <c r="O202" i="22"/>
  <c r="Q202" i="22" s="1"/>
  <c r="K206" i="22"/>
  <c r="O206" i="22"/>
  <c r="Q206" i="22" s="1"/>
  <c r="K6" i="22"/>
  <c r="O6" i="22"/>
  <c r="Q6" i="22" s="1"/>
  <c r="K10" i="22"/>
  <c r="O10" i="22"/>
  <c r="Q10" i="22" s="1"/>
  <c r="K14" i="22"/>
  <c r="O14" i="22"/>
  <c r="Q14" i="22" s="1"/>
  <c r="K18" i="22"/>
  <c r="O18" i="22"/>
  <c r="Q18" i="22" s="1"/>
  <c r="K22" i="22"/>
  <c r="O22" i="22"/>
  <c r="Q22" i="22" s="1"/>
  <c r="K41" i="22"/>
  <c r="O41" i="22"/>
  <c r="Q41" i="22" s="1"/>
  <c r="K45" i="22"/>
  <c r="O45" i="22"/>
  <c r="Q45" i="22" s="1"/>
  <c r="K49" i="22"/>
  <c r="O49" i="22"/>
  <c r="Q49" i="22" s="1"/>
  <c r="K53" i="22"/>
  <c r="O53" i="22"/>
  <c r="Q53" i="22" s="1"/>
  <c r="K57" i="22"/>
  <c r="O57" i="22"/>
  <c r="Q57" i="22" s="1"/>
  <c r="K61" i="22"/>
  <c r="O61" i="22"/>
  <c r="Q61" i="22" s="1"/>
  <c r="K65" i="22"/>
  <c r="O65" i="22"/>
  <c r="Q65" i="22" s="1"/>
  <c r="K69" i="22"/>
  <c r="O69" i="22"/>
  <c r="Q69" i="22" s="1"/>
  <c r="K73" i="22"/>
  <c r="O73" i="22"/>
  <c r="Q73" i="22" s="1"/>
  <c r="K77" i="22"/>
  <c r="O77" i="22"/>
  <c r="Q77" i="22" s="1"/>
  <c r="K81" i="22"/>
  <c r="O81" i="22"/>
  <c r="Q81" i="22" s="1"/>
  <c r="K85" i="22"/>
  <c r="O85" i="22"/>
  <c r="Q85" i="22" s="1"/>
  <c r="K89" i="22"/>
  <c r="O89" i="22"/>
  <c r="Q89" i="22" s="1"/>
  <c r="K93" i="22"/>
  <c r="O93" i="22"/>
  <c r="Q93" i="22" s="1"/>
  <c r="K97" i="22"/>
  <c r="O97" i="22"/>
  <c r="Q97" i="22" s="1"/>
  <c r="K101" i="22"/>
  <c r="O101" i="22"/>
  <c r="Q101" i="22" s="1"/>
  <c r="K105" i="22"/>
  <c r="O105" i="22"/>
  <c r="Q105" i="22" s="1"/>
  <c r="K109" i="22"/>
  <c r="O109" i="22"/>
  <c r="Q109" i="22" s="1"/>
  <c r="K113" i="22"/>
  <c r="O113" i="22"/>
  <c r="Q113" i="22" s="1"/>
  <c r="K117" i="22"/>
  <c r="O117" i="22"/>
  <c r="Q117" i="22" s="1"/>
  <c r="K121" i="22"/>
  <c r="O121" i="22"/>
  <c r="Q121" i="22" s="1"/>
  <c r="K125" i="22"/>
  <c r="O125" i="22"/>
  <c r="Q125" i="22" s="1"/>
  <c r="K129" i="22"/>
  <c r="O129" i="22"/>
  <c r="Q129" i="22" s="1"/>
  <c r="K133" i="22"/>
  <c r="O133" i="22"/>
  <c r="Q133" i="22" s="1"/>
  <c r="K138" i="22"/>
  <c r="O138" i="22"/>
  <c r="Q138" i="22" s="1"/>
  <c r="K142" i="22"/>
  <c r="O142" i="22"/>
  <c r="Q142" i="22" s="1"/>
  <c r="K146" i="22"/>
  <c r="O146" i="22"/>
  <c r="Q146" i="22" s="1"/>
  <c r="K150" i="22"/>
  <c r="O150" i="22"/>
  <c r="Q150" i="22" s="1"/>
  <c r="K154" i="22"/>
  <c r="O154" i="22"/>
  <c r="Q154" i="22" s="1"/>
  <c r="K167" i="22"/>
  <c r="O167" i="22"/>
  <c r="Q167" i="22" s="1"/>
  <c r="K170" i="22"/>
  <c r="O170" i="22"/>
  <c r="Q170" i="22" s="1"/>
  <c r="K174" i="22"/>
  <c r="O174" i="22"/>
  <c r="Q174" i="22" s="1"/>
  <c r="K25" i="22"/>
  <c r="O25" i="22"/>
  <c r="Q25" i="22" s="1"/>
  <c r="K29" i="22"/>
  <c r="O29" i="22"/>
  <c r="Q29" i="22" s="1"/>
  <c r="K33" i="22"/>
  <c r="O33" i="22"/>
  <c r="Q33" i="22" s="1"/>
  <c r="K37" i="22"/>
  <c r="O37" i="22"/>
  <c r="Q37" i="22" s="1"/>
  <c r="K179" i="22"/>
  <c r="O179" i="22"/>
  <c r="Q179" i="22" s="1"/>
  <c r="K184" i="22"/>
  <c r="O184" i="22"/>
  <c r="Q184" i="22" s="1"/>
  <c r="K182" i="22"/>
  <c r="O182" i="22"/>
  <c r="Q182" i="22" s="1"/>
  <c r="K191" i="22"/>
  <c r="O191" i="22"/>
  <c r="Q191" i="22" s="1"/>
  <c r="K196" i="22"/>
  <c r="O196" i="22"/>
  <c r="Q196" i="22" s="1"/>
  <c r="K199" i="22"/>
  <c r="O199" i="22"/>
  <c r="Q199" i="22" s="1"/>
  <c r="K203" i="22"/>
  <c r="O203" i="22"/>
  <c r="Q203" i="22" s="1"/>
  <c r="K207" i="22"/>
  <c r="O207" i="22"/>
  <c r="Q207" i="22" s="1"/>
  <c r="K7" i="22"/>
  <c r="O7" i="22"/>
  <c r="Q7" i="22" s="1"/>
  <c r="K11" i="22"/>
  <c r="O11" i="22"/>
  <c r="Q11" i="22" s="1"/>
  <c r="K15" i="22"/>
  <c r="O15" i="22"/>
  <c r="Q15" i="22" s="1"/>
  <c r="K19" i="22"/>
  <c r="O19" i="22"/>
  <c r="Q19" i="22" s="1"/>
  <c r="K38" i="22"/>
  <c r="O38" i="22"/>
  <c r="Q38" i="22" s="1"/>
  <c r="K42" i="22"/>
  <c r="O42" i="22"/>
  <c r="Q42" i="22" s="1"/>
  <c r="K46" i="22"/>
  <c r="O46" i="22"/>
  <c r="Q46" i="22" s="1"/>
  <c r="K50" i="22"/>
  <c r="O50" i="22"/>
  <c r="Q50" i="22" s="1"/>
  <c r="K54" i="22"/>
  <c r="O54" i="22"/>
  <c r="Q54" i="22" s="1"/>
  <c r="K58" i="22"/>
  <c r="O58" i="22"/>
  <c r="Q58" i="22" s="1"/>
  <c r="K62" i="22"/>
  <c r="O62" i="22"/>
  <c r="Q62" i="22" s="1"/>
  <c r="K66" i="22"/>
  <c r="O66" i="22"/>
  <c r="Q66" i="22" s="1"/>
  <c r="K70" i="22"/>
  <c r="O70" i="22"/>
  <c r="Q70" i="22" s="1"/>
  <c r="K74" i="22"/>
  <c r="O74" i="22"/>
  <c r="Q74" i="22" s="1"/>
  <c r="K78" i="22"/>
  <c r="O78" i="22"/>
  <c r="Q78" i="22" s="1"/>
  <c r="K82" i="22"/>
  <c r="O82" i="22"/>
  <c r="Q82" i="22" s="1"/>
  <c r="K86" i="22"/>
  <c r="O86" i="22"/>
  <c r="Q86" i="22" s="1"/>
  <c r="K90" i="22"/>
  <c r="O90" i="22"/>
  <c r="Q90" i="22" s="1"/>
  <c r="K94" i="22"/>
  <c r="O94" i="22"/>
  <c r="Q94" i="22" s="1"/>
  <c r="K98" i="22"/>
  <c r="O98" i="22"/>
  <c r="Q98" i="22" s="1"/>
  <c r="K102" i="22"/>
  <c r="O102" i="22"/>
  <c r="Q102" i="22" s="1"/>
  <c r="K106" i="22"/>
  <c r="O106" i="22"/>
  <c r="Q106" i="22" s="1"/>
  <c r="K110" i="22"/>
  <c r="O110" i="22"/>
  <c r="Q110" i="22" s="1"/>
  <c r="K114" i="22"/>
  <c r="O114" i="22"/>
  <c r="Q114" i="22" s="1"/>
  <c r="K118" i="22"/>
  <c r="O118" i="22"/>
  <c r="Q118" i="22" s="1"/>
  <c r="K122" i="22"/>
  <c r="O122" i="22"/>
  <c r="Q122" i="22" s="1"/>
  <c r="K126" i="22"/>
  <c r="O126" i="22"/>
  <c r="Q126" i="22" s="1"/>
  <c r="K130" i="22"/>
  <c r="O130" i="22"/>
  <c r="Q130" i="22" s="1"/>
  <c r="K134" i="22"/>
  <c r="O134" i="22"/>
  <c r="Q134" i="22" s="1"/>
  <c r="K139" i="22"/>
  <c r="O139" i="22"/>
  <c r="Q139" i="22" s="1"/>
  <c r="K143" i="22"/>
  <c r="O143" i="22"/>
  <c r="Q143" i="22" s="1"/>
  <c r="K147" i="22"/>
  <c r="O147" i="22"/>
  <c r="Q147" i="22" s="1"/>
  <c r="K151" i="22"/>
  <c r="O151" i="22"/>
  <c r="Q151" i="22" s="1"/>
  <c r="K155" i="22"/>
  <c r="O155" i="22"/>
  <c r="Q155" i="22" s="1"/>
  <c r="K8" i="22"/>
  <c r="O8" i="22"/>
  <c r="Q8" i="22" s="1"/>
  <c r="K12" i="22"/>
  <c r="O12" i="22"/>
  <c r="Q12" i="22" s="1"/>
  <c r="K16" i="22"/>
  <c r="O16" i="22"/>
  <c r="Q16" i="22" s="1"/>
  <c r="K20" i="22"/>
  <c r="O20" i="22"/>
  <c r="Q20" i="22" s="1"/>
  <c r="K39" i="22"/>
  <c r="O39" i="22"/>
  <c r="Q39" i="22" s="1"/>
  <c r="K43" i="22"/>
  <c r="O43" i="22"/>
  <c r="Q43" i="22" s="1"/>
  <c r="K47" i="22"/>
  <c r="O47" i="22"/>
  <c r="Q47" i="22" s="1"/>
  <c r="K51" i="22"/>
  <c r="O51" i="22"/>
  <c r="Q51" i="22" s="1"/>
  <c r="K55" i="22"/>
  <c r="O55" i="22"/>
  <c r="Q55" i="22" s="1"/>
  <c r="K59" i="22"/>
  <c r="O59" i="22"/>
  <c r="Q59" i="22" s="1"/>
  <c r="K63" i="22"/>
  <c r="O63" i="22"/>
  <c r="Q63" i="22" s="1"/>
  <c r="K67" i="22"/>
  <c r="O67" i="22"/>
  <c r="Q67" i="22" s="1"/>
  <c r="K71" i="22"/>
  <c r="O71" i="22"/>
  <c r="Q71" i="22" s="1"/>
  <c r="K75" i="22"/>
  <c r="O75" i="22"/>
  <c r="Q75" i="22" s="1"/>
  <c r="K79" i="22"/>
  <c r="O79" i="22"/>
  <c r="Q79" i="22" s="1"/>
  <c r="K83" i="22"/>
  <c r="O83" i="22"/>
  <c r="Q83" i="22" s="1"/>
  <c r="K87" i="22"/>
  <c r="O87" i="22"/>
  <c r="Q87" i="22" s="1"/>
  <c r="K91" i="22"/>
  <c r="O91" i="22"/>
  <c r="Q91" i="22" s="1"/>
  <c r="K95" i="22"/>
  <c r="O95" i="22"/>
  <c r="Q95" i="22" s="1"/>
  <c r="K99" i="22"/>
  <c r="O99" i="22"/>
  <c r="Q99" i="22" s="1"/>
  <c r="K103" i="22"/>
  <c r="O103" i="22"/>
  <c r="Q103" i="22" s="1"/>
  <c r="K107" i="22"/>
  <c r="O107" i="22"/>
  <c r="Q107" i="22" s="1"/>
  <c r="K111" i="22"/>
  <c r="O111" i="22"/>
  <c r="Q111" i="22" s="1"/>
  <c r="K115" i="22"/>
  <c r="O115" i="22"/>
  <c r="Q115" i="22" s="1"/>
  <c r="K119" i="22"/>
  <c r="O119" i="22"/>
  <c r="Q119" i="22" s="1"/>
  <c r="K123" i="22"/>
  <c r="O123" i="22"/>
  <c r="Q123" i="22" s="1"/>
  <c r="K127" i="22"/>
  <c r="O127" i="22"/>
  <c r="Q127" i="22" s="1"/>
  <c r="K131" i="22"/>
  <c r="O131" i="22"/>
  <c r="Q131" i="22" s="1"/>
  <c r="K135" i="22"/>
  <c r="O135" i="22"/>
  <c r="Q135" i="22" s="1"/>
  <c r="K140" i="22"/>
  <c r="O140" i="22"/>
  <c r="Q140" i="22" s="1"/>
  <c r="K144" i="22"/>
  <c r="O144" i="22"/>
  <c r="Q144" i="22" s="1"/>
  <c r="K148" i="22"/>
  <c r="O148" i="22"/>
  <c r="Q148" i="22" s="1"/>
  <c r="K152" i="22"/>
  <c r="O152" i="22"/>
  <c r="Q152" i="22" s="1"/>
  <c r="K156" i="22"/>
  <c r="O156" i="22"/>
  <c r="Q156" i="22" s="1"/>
  <c r="K166" i="22"/>
  <c r="O166" i="22"/>
  <c r="Q166" i="22" s="1"/>
  <c r="K172" i="22"/>
  <c r="O172" i="22"/>
  <c r="Q172" i="22" s="1"/>
  <c r="K23" i="22"/>
  <c r="O23" i="22"/>
  <c r="Q23" i="22" s="1"/>
  <c r="K27" i="22"/>
  <c r="O27" i="22"/>
  <c r="Q27" i="22" s="1"/>
  <c r="K31" i="22"/>
  <c r="O31" i="22"/>
  <c r="Q31" i="22" s="1"/>
  <c r="K35" i="22"/>
  <c r="O35" i="22"/>
  <c r="Q35" i="22" s="1"/>
  <c r="K177" i="22"/>
  <c r="O177" i="22"/>
  <c r="Q177" i="22" s="1"/>
  <c r="K181" i="22"/>
  <c r="O181" i="22"/>
  <c r="Q181" i="22" s="1"/>
  <c r="K186" i="22"/>
  <c r="O186" i="22"/>
  <c r="Q186" i="22" s="1"/>
  <c r="K189" i="22"/>
  <c r="O189" i="22"/>
  <c r="Q189" i="22" s="1"/>
  <c r="K193" i="22"/>
  <c r="O193" i="22"/>
  <c r="Q193" i="22" s="1"/>
  <c r="K197" i="22"/>
  <c r="O197" i="22"/>
  <c r="Q197" i="22" s="1"/>
  <c r="K201" i="22"/>
  <c r="O201" i="22"/>
  <c r="Q201" i="22" s="1"/>
  <c r="K205" i="22"/>
  <c r="O205" i="22"/>
  <c r="Q205" i="22" s="1"/>
  <c r="K209" i="22"/>
  <c r="O209" i="22"/>
  <c r="Q209" i="22" s="1"/>
  <c r="K159" i="22"/>
  <c r="Q159" i="22"/>
  <c r="K163" i="22"/>
  <c r="Q163" i="22"/>
  <c r="K160" i="22"/>
  <c r="Q160" i="22"/>
  <c r="K164" i="22"/>
  <c r="Q164" i="22"/>
  <c r="K165" i="22"/>
  <c r="Q165" i="22"/>
  <c r="K161" i="22"/>
  <c r="Q161" i="22"/>
  <c r="K162" i="22"/>
  <c r="Q162" i="22"/>
  <c r="O210" i="22"/>
  <c r="L31" i="17" l="1"/>
  <c r="M31" i="17"/>
  <c r="N31" i="17"/>
  <c r="O31" i="17"/>
  <c r="K31" i="17"/>
  <c r="L26" i="17"/>
  <c r="M26" i="17"/>
  <c r="N26" i="17"/>
  <c r="O26" i="17"/>
  <c r="K26" i="17"/>
  <c r="L20" i="17"/>
  <c r="M20" i="17"/>
  <c r="N20" i="17"/>
  <c r="O20" i="17"/>
  <c r="K20" i="17"/>
  <c r="K14" i="17"/>
  <c r="O14" i="17"/>
  <c r="N14" i="17"/>
  <c r="M14" i="17"/>
  <c r="L14" i="17"/>
  <c r="K9" i="17"/>
  <c r="L9" i="17"/>
  <c r="M9" i="17"/>
  <c r="N9" i="17"/>
  <c r="O9" i="17"/>
  <c r="K62" i="16"/>
  <c r="O62" i="16"/>
  <c r="N62" i="16"/>
  <c r="M62" i="16"/>
  <c r="L62" i="16"/>
  <c r="K58" i="16"/>
  <c r="O58" i="16"/>
  <c r="N58" i="16"/>
  <c r="M58" i="16"/>
  <c r="L58" i="16"/>
  <c r="L54" i="16"/>
  <c r="M54" i="16"/>
  <c r="N54" i="16"/>
  <c r="O54" i="16"/>
  <c r="K54" i="16"/>
  <c r="L50" i="16"/>
  <c r="M50" i="16"/>
  <c r="N50" i="16"/>
  <c r="O50" i="16"/>
  <c r="K50" i="16"/>
  <c r="L44" i="16"/>
  <c r="M44" i="16"/>
  <c r="N44" i="16"/>
  <c r="O44" i="16"/>
  <c r="K44" i="16"/>
  <c r="L37" i="16"/>
  <c r="M37" i="16"/>
  <c r="N37" i="16"/>
  <c r="O37" i="16"/>
  <c r="K37" i="16"/>
  <c r="L32" i="16"/>
  <c r="M32" i="16"/>
  <c r="N32" i="16"/>
  <c r="O32" i="16"/>
  <c r="K32" i="16"/>
  <c r="L28" i="16"/>
  <c r="M28" i="16"/>
  <c r="N28" i="16"/>
  <c r="O28" i="16"/>
  <c r="K28" i="16"/>
  <c r="K23" i="16"/>
  <c r="O23" i="16"/>
  <c r="N23" i="16"/>
  <c r="M23" i="16"/>
  <c r="L23" i="16"/>
  <c r="L19" i="16"/>
  <c r="M19" i="16"/>
  <c r="N19" i="16"/>
  <c r="O19" i="16"/>
  <c r="K19" i="16"/>
  <c r="L15" i="16"/>
  <c r="M15" i="16"/>
  <c r="N15" i="16"/>
  <c r="O15" i="16"/>
  <c r="K15" i="16"/>
  <c r="L10" i="16"/>
  <c r="M10" i="16"/>
  <c r="N10" i="16"/>
  <c r="O10" i="16"/>
  <c r="K10" i="16"/>
  <c r="L79" i="15"/>
  <c r="M79" i="15"/>
  <c r="N79" i="15"/>
  <c r="O79" i="15"/>
  <c r="L71" i="15"/>
  <c r="M71" i="15"/>
  <c r="N71" i="15"/>
  <c r="O71" i="15"/>
  <c r="L64" i="15"/>
  <c r="M64" i="15"/>
  <c r="N64" i="15"/>
  <c r="O64" i="15"/>
  <c r="L58" i="15"/>
  <c r="M58" i="15"/>
  <c r="N58" i="15"/>
  <c r="O58" i="15"/>
  <c r="L49" i="15"/>
  <c r="M49" i="15"/>
  <c r="N49" i="15"/>
  <c r="O49" i="15"/>
  <c r="L37" i="15"/>
  <c r="M37" i="15"/>
  <c r="N37" i="15"/>
  <c r="O37" i="15"/>
  <c r="L27" i="15"/>
  <c r="M27" i="15"/>
  <c r="N27" i="15"/>
  <c r="O27" i="15"/>
  <c r="L20" i="15"/>
  <c r="M20" i="15"/>
  <c r="N20" i="15"/>
  <c r="O20" i="15"/>
  <c r="L51" i="14"/>
  <c r="M51" i="14"/>
  <c r="N51" i="14"/>
  <c r="O51" i="14"/>
  <c r="K51" i="14"/>
  <c r="L19" i="14"/>
  <c r="M19" i="14"/>
  <c r="N19" i="14"/>
  <c r="O19" i="14"/>
  <c r="L140" i="13"/>
  <c r="M140" i="13"/>
  <c r="N140" i="13"/>
  <c r="O140" i="13"/>
  <c r="L134" i="13"/>
  <c r="M134" i="13"/>
  <c r="N134" i="13"/>
  <c r="O134" i="13"/>
  <c r="L122" i="13"/>
  <c r="M122" i="13"/>
  <c r="N122" i="13"/>
  <c r="O122" i="13"/>
  <c r="N113" i="13"/>
  <c r="M113" i="13"/>
  <c r="L113" i="13"/>
  <c r="O113" i="13"/>
  <c r="O103" i="13"/>
  <c r="N103" i="13"/>
  <c r="M103" i="13"/>
  <c r="L103" i="13"/>
  <c r="L90" i="13"/>
  <c r="M90" i="13"/>
  <c r="N90" i="13"/>
  <c r="O90" i="13"/>
  <c r="N80" i="13"/>
  <c r="M80" i="13"/>
  <c r="L80" i="13"/>
  <c r="O80" i="13"/>
  <c r="N73" i="13"/>
  <c r="M73" i="13"/>
  <c r="L73" i="13"/>
  <c r="O73" i="13"/>
  <c r="Q147" i="7" l="1"/>
  <c r="P147" i="7"/>
  <c r="Q132" i="7"/>
  <c r="P132" i="7"/>
  <c r="Q51" i="7"/>
  <c r="P51" i="7"/>
  <c r="L61" i="13" l="1"/>
  <c r="M61" i="13"/>
  <c r="N61" i="13"/>
  <c r="O61" i="13"/>
  <c r="L56" i="13" l="1"/>
  <c r="M56" i="13"/>
  <c r="N56" i="13"/>
  <c r="O56" i="13"/>
  <c r="L43" i="13"/>
  <c r="M43" i="13"/>
  <c r="N43" i="13"/>
  <c r="O43" i="13"/>
  <c r="K43" i="13"/>
  <c r="L30" i="13"/>
  <c r="M30" i="13"/>
  <c r="N30" i="13"/>
  <c r="O30" i="13"/>
  <c r="L20" i="13"/>
  <c r="M20" i="13"/>
  <c r="N20" i="13"/>
  <c r="O20" i="13"/>
  <c r="L13" i="13"/>
  <c r="M13" i="13"/>
  <c r="N13" i="13"/>
  <c r="O13" i="13"/>
  <c r="L74" i="12"/>
  <c r="M74" i="12"/>
  <c r="N74" i="12"/>
  <c r="O74" i="12"/>
  <c r="K74" i="12"/>
  <c r="L70" i="12"/>
  <c r="M70" i="12"/>
  <c r="N70" i="12"/>
  <c r="O70" i="12"/>
  <c r="K70" i="12"/>
  <c r="L66" i="12"/>
  <c r="M66" i="12"/>
  <c r="N66" i="12"/>
  <c r="O66" i="12"/>
  <c r="K66" i="12"/>
  <c r="L61" i="12"/>
  <c r="M61" i="12"/>
  <c r="N61" i="12"/>
  <c r="O61" i="12"/>
  <c r="K61" i="12"/>
  <c r="L56" i="12"/>
  <c r="M56" i="12"/>
  <c r="N56" i="12"/>
  <c r="O56" i="12"/>
  <c r="K56" i="12"/>
  <c r="L51" i="12"/>
  <c r="M51" i="12"/>
  <c r="N51" i="12"/>
  <c r="O51" i="12"/>
  <c r="K51" i="12"/>
  <c r="L44" i="12"/>
  <c r="M44" i="12"/>
  <c r="N44" i="12"/>
  <c r="O44" i="12"/>
  <c r="K44" i="12"/>
  <c r="L35" i="12"/>
  <c r="M35" i="12"/>
  <c r="N35" i="12"/>
  <c r="O35" i="12"/>
  <c r="K35" i="12"/>
  <c r="L27" i="12"/>
  <c r="M27" i="12"/>
  <c r="N27" i="12"/>
  <c r="O27" i="12"/>
  <c r="K27" i="12"/>
  <c r="L17" i="12"/>
  <c r="M17" i="12"/>
  <c r="N17" i="12"/>
  <c r="O17" i="12"/>
  <c r="K17" i="12"/>
  <c r="L78" i="10"/>
  <c r="M78" i="10"/>
  <c r="N78" i="10"/>
  <c r="O78" i="10"/>
  <c r="K78" i="10"/>
  <c r="L71" i="10"/>
  <c r="M71" i="10"/>
  <c r="N71" i="10"/>
  <c r="O71" i="10"/>
  <c r="K71" i="10"/>
  <c r="L63" i="10"/>
  <c r="M63" i="10"/>
  <c r="N63" i="10"/>
  <c r="O63" i="10"/>
  <c r="K63" i="10"/>
  <c r="L52" i="10"/>
  <c r="M52" i="10"/>
  <c r="N52" i="10"/>
  <c r="O52" i="10"/>
  <c r="K52" i="10"/>
  <c r="L42" i="10"/>
  <c r="M42" i="10"/>
  <c r="N42" i="10"/>
  <c r="O42" i="10"/>
  <c r="K42" i="10"/>
  <c r="L34" i="10"/>
  <c r="M34" i="10"/>
  <c r="N34" i="10"/>
  <c r="O34" i="10"/>
  <c r="K34" i="10"/>
  <c r="L25" i="10"/>
  <c r="M25" i="10"/>
  <c r="N25" i="10"/>
  <c r="O25" i="10"/>
  <c r="K25" i="10"/>
  <c r="L13" i="10"/>
  <c r="M13" i="10"/>
  <c r="N13" i="10"/>
  <c r="O13" i="10"/>
  <c r="K13" i="10"/>
  <c r="L132" i="9"/>
  <c r="M132" i="9"/>
  <c r="N132" i="9"/>
  <c r="O132" i="9"/>
  <c r="L126" i="9"/>
  <c r="M126" i="9"/>
  <c r="N126" i="9"/>
  <c r="O126" i="9"/>
  <c r="L119" i="9"/>
  <c r="M119" i="9"/>
  <c r="N119" i="9"/>
  <c r="O119" i="9"/>
  <c r="L109" i="9"/>
  <c r="M109" i="9"/>
  <c r="N109" i="9"/>
  <c r="O109" i="9"/>
  <c r="L98" i="9"/>
  <c r="M98" i="9"/>
  <c r="N98" i="9"/>
  <c r="O98" i="9"/>
  <c r="L92" i="9"/>
  <c r="M92" i="9"/>
  <c r="N92" i="9"/>
  <c r="O92" i="9"/>
  <c r="L87" i="9"/>
  <c r="M87" i="9"/>
  <c r="N87" i="9"/>
  <c r="O87" i="9"/>
  <c r="L82" i="9"/>
  <c r="M82" i="9"/>
  <c r="N82" i="9"/>
  <c r="O82" i="9"/>
  <c r="L70" i="9"/>
  <c r="M70" i="9"/>
  <c r="N70" i="9"/>
  <c r="O70" i="9"/>
  <c r="L62" i="9"/>
  <c r="M62" i="9"/>
  <c r="N62" i="9"/>
  <c r="L56" i="9"/>
  <c r="M56" i="9"/>
  <c r="N56" i="9"/>
  <c r="O56" i="9"/>
  <c r="L35" i="9"/>
  <c r="M35" i="9"/>
  <c r="N35" i="9"/>
  <c r="O35" i="9"/>
  <c r="L27" i="9"/>
  <c r="M27" i="9"/>
  <c r="N27" i="9"/>
  <c r="O27" i="9"/>
  <c r="L99" i="8"/>
  <c r="M99" i="8"/>
  <c r="N99" i="8"/>
  <c r="O99" i="8"/>
  <c r="K99" i="8"/>
  <c r="L94" i="8"/>
  <c r="M94" i="8"/>
  <c r="N94" i="8"/>
  <c r="O94" i="8"/>
  <c r="K94" i="8"/>
  <c r="L91" i="8"/>
  <c r="M91" i="8"/>
  <c r="N91" i="8"/>
  <c r="O91" i="8"/>
  <c r="K91" i="8"/>
  <c r="L79" i="8"/>
  <c r="M79" i="8"/>
  <c r="N79" i="8"/>
  <c r="O79" i="8"/>
  <c r="K79" i="8"/>
  <c r="L71" i="8"/>
  <c r="M71" i="8"/>
  <c r="N71" i="8"/>
  <c r="O71" i="8"/>
  <c r="K71" i="8"/>
  <c r="L66" i="8"/>
  <c r="M66" i="8"/>
  <c r="N66" i="8"/>
  <c r="O66" i="8"/>
  <c r="K66" i="8"/>
  <c r="L61" i="8"/>
  <c r="M61" i="8"/>
  <c r="N61" i="8"/>
  <c r="O61" i="8"/>
  <c r="K61" i="8"/>
  <c r="L57" i="8"/>
  <c r="M57" i="8"/>
  <c r="N57" i="8"/>
  <c r="O57" i="8"/>
  <c r="K57" i="8"/>
  <c r="L52" i="8"/>
  <c r="M52" i="8"/>
  <c r="N52" i="8"/>
  <c r="O52" i="8"/>
  <c r="K52" i="8"/>
  <c r="L36" i="8" l="1"/>
  <c r="M36" i="8"/>
  <c r="N36" i="8"/>
  <c r="O36" i="8"/>
  <c r="K36" i="8"/>
  <c r="L33" i="8"/>
  <c r="M33" i="8"/>
  <c r="N33" i="8"/>
  <c r="O33" i="8"/>
  <c r="K33" i="8"/>
  <c r="L29" i="8"/>
  <c r="M29" i="8"/>
  <c r="N29" i="8"/>
  <c r="O29" i="8"/>
  <c r="K29" i="8"/>
  <c r="L24" i="8"/>
  <c r="M24" i="8"/>
  <c r="N24" i="8"/>
  <c r="O24" i="8"/>
  <c r="K24" i="8"/>
  <c r="L18" i="8"/>
  <c r="M18" i="8"/>
  <c r="N18" i="8"/>
  <c r="O18" i="8"/>
  <c r="K18" i="8"/>
  <c r="L160" i="7"/>
  <c r="M160" i="7"/>
  <c r="N160" i="7"/>
  <c r="O160" i="7"/>
  <c r="K160" i="7"/>
  <c r="L155" i="7"/>
  <c r="M155" i="7"/>
  <c r="N155" i="7"/>
  <c r="O155" i="7"/>
  <c r="K155" i="7"/>
  <c r="L147" i="7"/>
  <c r="M147" i="7"/>
  <c r="N147" i="7"/>
  <c r="O147" i="7"/>
  <c r="K147" i="7"/>
  <c r="L138" i="7"/>
  <c r="M138" i="7"/>
  <c r="N138" i="7"/>
  <c r="O138" i="7"/>
  <c r="K138" i="7"/>
  <c r="L132" i="7"/>
  <c r="M132" i="7"/>
  <c r="N132" i="7"/>
  <c r="O132" i="7"/>
  <c r="K132" i="7"/>
  <c r="L127" i="7"/>
  <c r="M127" i="7"/>
  <c r="N127" i="7"/>
  <c r="O127" i="7"/>
  <c r="K127" i="7"/>
  <c r="L123" i="7"/>
  <c r="M123" i="7"/>
  <c r="N123" i="7"/>
  <c r="O123" i="7"/>
  <c r="K123" i="7"/>
  <c r="L118" i="7"/>
  <c r="M118" i="7"/>
  <c r="N118" i="7"/>
  <c r="O118" i="7"/>
  <c r="K118" i="7"/>
  <c r="L111" i="7"/>
  <c r="M111" i="7"/>
  <c r="N111" i="7"/>
  <c r="O111" i="7"/>
  <c r="K111" i="7"/>
  <c r="L103" i="7"/>
  <c r="M103" i="7"/>
  <c r="N103" i="7"/>
  <c r="O103" i="7"/>
  <c r="K103" i="7"/>
  <c r="L94" i="7"/>
  <c r="M94" i="7"/>
  <c r="N94" i="7"/>
  <c r="O94" i="7"/>
  <c r="K94" i="7"/>
  <c r="L86" i="7"/>
  <c r="M86" i="7"/>
  <c r="N86" i="7"/>
  <c r="O86" i="7"/>
  <c r="K86" i="7"/>
  <c r="L79" i="7" l="1"/>
  <c r="M79" i="7"/>
  <c r="N79" i="7"/>
  <c r="O79" i="7"/>
  <c r="K79" i="7"/>
  <c r="L69" i="7"/>
  <c r="M69" i="7"/>
  <c r="N69" i="7"/>
  <c r="O69" i="7"/>
  <c r="K69" i="7"/>
  <c r="L51" i="7"/>
  <c r="M51" i="7"/>
  <c r="N51" i="7"/>
  <c r="O51" i="7"/>
  <c r="K51" i="7"/>
  <c r="L40" i="7"/>
  <c r="M40" i="7"/>
  <c r="N40" i="7"/>
  <c r="O40" i="7"/>
  <c r="K40" i="7"/>
  <c r="L31" i="7"/>
  <c r="M31" i="7"/>
  <c r="N31" i="7"/>
  <c r="O31" i="7"/>
  <c r="K31" i="7"/>
  <c r="L18" i="7"/>
  <c r="M18" i="7"/>
  <c r="N18" i="7"/>
  <c r="O18" i="7"/>
  <c r="K18" i="7"/>
  <c r="L117" i="6" l="1"/>
  <c r="M117" i="6"/>
  <c r="N117" i="6"/>
  <c r="O117" i="6"/>
  <c r="K117" i="6"/>
  <c r="L108" i="6"/>
  <c r="M108" i="6"/>
  <c r="N108" i="6"/>
  <c r="O108" i="6"/>
  <c r="K108" i="6"/>
  <c r="L103" i="6"/>
  <c r="M103" i="6"/>
  <c r="N103" i="6"/>
  <c r="O103" i="6"/>
  <c r="K103" i="6"/>
  <c r="L95" i="6"/>
  <c r="M95" i="6"/>
  <c r="N95" i="6"/>
  <c r="O95" i="6"/>
  <c r="K95" i="6"/>
  <c r="L91" i="6"/>
  <c r="M91" i="6"/>
  <c r="N91" i="6"/>
  <c r="O91" i="6"/>
  <c r="K91" i="6"/>
  <c r="L86" i="6"/>
  <c r="M86" i="6"/>
  <c r="N86" i="6"/>
  <c r="O86" i="6"/>
  <c r="K86" i="6"/>
  <c r="L77" i="6"/>
  <c r="M77" i="6"/>
  <c r="N77" i="6"/>
  <c r="O77" i="6"/>
  <c r="K77" i="6"/>
  <c r="L71" i="6"/>
  <c r="M71" i="6"/>
  <c r="N71" i="6"/>
  <c r="O71" i="6"/>
  <c r="K71" i="6"/>
  <c r="L63" i="6"/>
  <c r="M63" i="6"/>
  <c r="N63" i="6"/>
  <c r="O63" i="6"/>
  <c r="K63" i="6"/>
  <c r="L56" i="6"/>
  <c r="M56" i="6"/>
  <c r="N56" i="6"/>
  <c r="O56" i="6"/>
  <c r="K56" i="6"/>
  <c r="L49" i="6"/>
  <c r="M49" i="6"/>
  <c r="N49" i="6"/>
  <c r="O49" i="6"/>
  <c r="K49" i="6"/>
  <c r="L40" i="6"/>
  <c r="M40" i="6"/>
  <c r="N40" i="6"/>
  <c r="O40" i="6"/>
  <c r="K40" i="6"/>
  <c r="L28" i="6"/>
  <c r="M28" i="6"/>
  <c r="N28" i="6"/>
  <c r="O28" i="6"/>
  <c r="K28" i="6"/>
  <c r="L23" i="6"/>
  <c r="M23" i="6"/>
  <c r="N23" i="6"/>
  <c r="O23" i="6"/>
  <c r="K23" i="6"/>
  <c r="L13" i="6"/>
  <c r="M13" i="6"/>
  <c r="N13" i="6"/>
  <c r="O13" i="6"/>
  <c r="K13" i="6"/>
  <c r="L9" i="6"/>
  <c r="M9" i="6"/>
  <c r="N9" i="6"/>
  <c r="O9" i="6"/>
  <c r="K9" i="6"/>
  <c r="L143" i="5"/>
  <c r="M143" i="5"/>
  <c r="N143" i="5"/>
  <c r="O143" i="5"/>
  <c r="K143" i="5"/>
  <c r="L136" i="5"/>
  <c r="M136" i="5"/>
  <c r="N136" i="5"/>
  <c r="O136" i="5"/>
  <c r="K136" i="5"/>
  <c r="L132" i="5"/>
  <c r="M132" i="5"/>
  <c r="N132" i="5"/>
  <c r="O132" i="5"/>
  <c r="K132" i="5"/>
  <c r="L128" i="5"/>
  <c r="M128" i="5"/>
  <c r="N128" i="5"/>
  <c r="O128" i="5"/>
  <c r="K128" i="5"/>
  <c r="L124" i="5"/>
  <c r="M124" i="5"/>
  <c r="N124" i="5"/>
  <c r="O124" i="5"/>
  <c r="K124" i="5"/>
  <c r="L118" i="5"/>
  <c r="M118" i="5"/>
  <c r="N118" i="5"/>
  <c r="O118" i="5"/>
  <c r="K118" i="5"/>
  <c r="L112" i="5"/>
  <c r="M112" i="5"/>
  <c r="N112" i="5"/>
  <c r="O112" i="5"/>
  <c r="K112" i="5"/>
  <c r="L104" i="5"/>
  <c r="M104" i="5"/>
  <c r="N104" i="5"/>
  <c r="O104" i="5"/>
  <c r="K104" i="5"/>
  <c r="L91" i="5"/>
  <c r="M91" i="5"/>
  <c r="N91" i="5"/>
  <c r="O91" i="5"/>
  <c r="K91" i="5"/>
  <c r="L85" i="5"/>
  <c r="M85" i="5"/>
  <c r="N85" i="5"/>
  <c r="O85" i="5"/>
  <c r="K85" i="5"/>
  <c r="L77" i="5"/>
  <c r="M77" i="5"/>
  <c r="N77" i="5"/>
  <c r="O77" i="5"/>
  <c r="K77" i="5"/>
  <c r="L73" i="5"/>
  <c r="M73" i="5"/>
  <c r="N73" i="5"/>
  <c r="O73" i="5"/>
  <c r="K73" i="5"/>
  <c r="L68" i="5"/>
  <c r="M68" i="5"/>
  <c r="N68" i="5"/>
  <c r="O68" i="5"/>
  <c r="K68" i="5"/>
  <c r="L59" i="5"/>
  <c r="M59" i="5"/>
  <c r="N59" i="5"/>
  <c r="O59" i="5"/>
  <c r="K59" i="5"/>
  <c r="L54" i="5"/>
  <c r="M54" i="5"/>
  <c r="N54" i="5"/>
  <c r="O54" i="5"/>
  <c r="K54" i="5"/>
  <c r="L50" i="5"/>
  <c r="M50" i="5"/>
  <c r="N50" i="5"/>
  <c r="O50" i="5"/>
  <c r="K50" i="5"/>
  <c r="L45" i="5"/>
  <c r="M45" i="5"/>
  <c r="N45" i="5"/>
  <c r="O45" i="5"/>
  <c r="K45" i="5"/>
  <c r="L41" i="5"/>
  <c r="M41" i="5"/>
  <c r="N41" i="5"/>
  <c r="O41" i="5"/>
  <c r="K41" i="5"/>
  <c r="L36" i="5"/>
  <c r="M36" i="5"/>
  <c r="N36" i="5"/>
  <c r="O36" i="5"/>
  <c r="K36" i="5"/>
  <c r="L32" i="5"/>
  <c r="M32" i="5"/>
  <c r="N32" i="5"/>
  <c r="O32" i="5"/>
  <c r="K32" i="5"/>
  <c r="L29" i="5"/>
  <c r="M29" i="5"/>
  <c r="N29" i="5"/>
  <c r="O29" i="5"/>
  <c r="K29" i="5"/>
  <c r="L21" i="5"/>
  <c r="M21" i="5"/>
  <c r="N21" i="5"/>
  <c r="O21" i="5"/>
  <c r="K21" i="5"/>
  <c r="L16" i="5"/>
  <c r="M16" i="5"/>
  <c r="N16" i="5"/>
  <c r="O16" i="5"/>
  <c r="K16" i="5"/>
  <c r="L80" i="4"/>
  <c r="M80" i="4"/>
  <c r="N80" i="4"/>
  <c r="O80" i="4"/>
  <c r="K80" i="4"/>
  <c r="L73" i="4"/>
  <c r="M73" i="4"/>
  <c r="N73" i="4"/>
  <c r="O73" i="4"/>
  <c r="K73" i="4"/>
  <c r="L69" i="4"/>
  <c r="M69" i="4"/>
  <c r="N69" i="4"/>
  <c r="O69" i="4"/>
  <c r="K69" i="4"/>
  <c r="L64" i="4"/>
  <c r="M64" i="4"/>
  <c r="N64" i="4"/>
  <c r="O64" i="4"/>
  <c r="K64" i="4"/>
  <c r="L59" i="4"/>
  <c r="M59" i="4"/>
  <c r="N59" i="4"/>
  <c r="O59" i="4"/>
  <c r="K59" i="4"/>
  <c r="L53" i="4"/>
  <c r="M53" i="4"/>
  <c r="N53" i="4"/>
  <c r="O53" i="4"/>
  <c r="K53" i="4"/>
  <c r="L49" i="4" l="1"/>
  <c r="M49" i="4"/>
  <c r="N49" i="4"/>
  <c r="O49" i="4"/>
  <c r="K49" i="4"/>
  <c r="L43" i="4"/>
  <c r="M43" i="4"/>
  <c r="N43" i="4"/>
  <c r="O43" i="4"/>
  <c r="K43" i="4"/>
  <c r="L37" i="4"/>
  <c r="M37" i="4"/>
  <c r="N37" i="4"/>
  <c r="O37" i="4"/>
  <c r="K37" i="4"/>
  <c r="L30" i="4"/>
  <c r="M30" i="4"/>
  <c r="N30" i="4"/>
  <c r="O30" i="4"/>
  <c r="K30" i="4"/>
  <c r="L23" i="4"/>
  <c r="M23" i="4"/>
  <c r="N23" i="4"/>
  <c r="O23" i="4"/>
  <c r="K23" i="4"/>
  <c r="O15" i="4"/>
  <c r="L15" i="4"/>
  <c r="M15" i="4"/>
  <c r="N15" i="4"/>
  <c r="K15" i="4"/>
  <c r="L57" i="3"/>
  <c r="M57" i="3"/>
  <c r="N57" i="3"/>
  <c r="O57" i="3"/>
  <c r="L166" i="2"/>
  <c r="M166" i="2"/>
  <c r="N166" i="2"/>
  <c r="O166" i="2"/>
  <c r="L162" i="2"/>
  <c r="M162" i="2"/>
  <c r="N162" i="2"/>
  <c r="O162" i="2"/>
  <c r="L151" i="2"/>
  <c r="M151" i="2"/>
  <c r="N151" i="2"/>
  <c r="O151" i="2"/>
  <c r="K151" i="2"/>
  <c r="L144" i="2"/>
  <c r="M144" i="2"/>
  <c r="N144" i="2"/>
  <c r="O144" i="2"/>
  <c r="L134" i="2"/>
  <c r="M134" i="2"/>
  <c r="N134" i="2"/>
  <c r="O134" i="2"/>
  <c r="L127" i="2"/>
  <c r="M127" i="2"/>
  <c r="N127" i="2"/>
  <c r="O127" i="2"/>
  <c r="L118" i="2"/>
  <c r="M118" i="2"/>
  <c r="N118" i="2"/>
  <c r="O118" i="2"/>
  <c r="P118" i="2" l="1"/>
  <c r="Q118" i="2" s="1"/>
  <c r="L106" i="2"/>
  <c r="M106" i="2"/>
  <c r="N106" i="2"/>
  <c r="O106" i="2"/>
  <c r="L101" i="2"/>
  <c r="M101" i="2"/>
  <c r="N101" i="2"/>
  <c r="O101" i="2"/>
  <c r="L82" i="2"/>
  <c r="M82" i="2"/>
  <c r="N82" i="2"/>
  <c r="O82" i="2"/>
  <c r="K82" i="2"/>
  <c r="L71" i="2"/>
  <c r="M71" i="2"/>
  <c r="N71" i="2"/>
  <c r="O71" i="2"/>
  <c r="K71" i="2"/>
  <c r="L67" i="2"/>
  <c r="M67" i="2"/>
  <c r="N67" i="2"/>
  <c r="O67" i="2"/>
  <c r="K67" i="2"/>
  <c r="C20" i="20"/>
  <c r="F148" i="19"/>
  <c r="F149" i="19"/>
  <c r="F150" i="19"/>
  <c r="F144" i="19"/>
  <c r="F145" i="19"/>
  <c r="F138" i="19"/>
  <c r="F139" i="19"/>
  <c r="F134" i="19"/>
  <c r="F135" i="19"/>
  <c r="F130" i="19"/>
  <c r="F126" i="19"/>
  <c r="F125" i="19"/>
  <c r="F121" i="19"/>
  <c r="F117" i="19"/>
  <c r="F122" i="19"/>
  <c r="F113" i="19"/>
  <c r="F109" i="19"/>
  <c r="F105" i="19"/>
  <c r="F110" i="19"/>
  <c r="F101" i="19"/>
  <c r="F102" i="19"/>
  <c r="F98" i="19"/>
  <c r="F90" i="19"/>
  <c r="F89" i="19"/>
  <c r="F85" i="19"/>
  <c r="F83" i="19"/>
  <c r="F86" i="19"/>
  <c r="F78" i="19"/>
  <c r="F79" i="19"/>
  <c r="F75" i="19"/>
  <c r="F71" i="19"/>
  <c r="F69" i="19"/>
  <c r="F64" i="19"/>
  <c r="F61" i="19"/>
  <c r="F65" i="19"/>
  <c r="F57" i="19"/>
  <c r="F51" i="19"/>
  <c r="F49" i="19"/>
  <c r="F45" i="19"/>
  <c r="F26" i="19"/>
  <c r="F27" i="19"/>
  <c r="F22" i="19"/>
  <c r="F12" i="19"/>
  <c r="F9" i="19"/>
  <c r="C33" i="17"/>
  <c r="C32" i="17"/>
  <c r="C64" i="16"/>
  <c r="C63" i="16"/>
  <c r="C112" i="15"/>
  <c r="C58" i="14"/>
  <c r="C141" i="13"/>
  <c r="C76" i="12"/>
  <c r="C75" i="12"/>
  <c r="C63" i="11"/>
  <c r="C80" i="10"/>
  <c r="C79" i="10"/>
  <c r="C133" i="9"/>
  <c r="C100" i="8"/>
  <c r="C101" i="8" s="1"/>
  <c r="J161" i="7"/>
  <c r="C161" i="7"/>
  <c r="F161" i="7"/>
  <c r="C119" i="6"/>
  <c r="C118" i="6"/>
  <c r="C145" i="5"/>
  <c r="C144" i="5"/>
  <c r="C82" i="4"/>
  <c r="C81" i="4"/>
  <c r="C91" i="3"/>
  <c r="C167" i="2"/>
  <c r="G167" i="2"/>
  <c r="H167" i="2"/>
  <c r="I167" i="2"/>
  <c r="J167" i="2"/>
  <c r="F167" i="2"/>
  <c r="G91" i="3"/>
  <c r="H91" i="3"/>
  <c r="I91" i="3"/>
  <c r="J91" i="3"/>
  <c r="G81" i="4"/>
  <c r="H81" i="4"/>
  <c r="I81" i="4"/>
  <c r="J81" i="4"/>
  <c r="F81" i="4"/>
  <c r="G144" i="5"/>
  <c r="H144" i="5"/>
  <c r="I144" i="5"/>
  <c r="J144" i="5"/>
  <c r="F144" i="5"/>
  <c r="G118" i="6"/>
  <c r="H118" i="6"/>
  <c r="I118" i="6"/>
  <c r="J118" i="6"/>
  <c r="F118" i="6"/>
  <c r="G161" i="7"/>
  <c r="H161" i="7"/>
  <c r="I161" i="7"/>
  <c r="G100" i="8"/>
  <c r="H100" i="8"/>
  <c r="I100" i="8"/>
  <c r="J100" i="8"/>
  <c r="F100" i="8"/>
  <c r="G133" i="9"/>
  <c r="H133" i="9"/>
  <c r="I133" i="9"/>
  <c r="J133" i="9"/>
  <c r="F133" i="9"/>
  <c r="G79" i="10"/>
  <c r="H79" i="10"/>
  <c r="I79" i="10"/>
  <c r="J79" i="10"/>
  <c r="F79" i="10"/>
  <c r="G63" i="11"/>
  <c r="H63" i="11"/>
  <c r="I63" i="11"/>
  <c r="J63" i="11"/>
  <c r="G75" i="12"/>
  <c r="H75" i="12"/>
  <c r="I75" i="12"/>
  <c r="J75" i="12"/>
  <c r="F75" i="12"/>
  <c r="G141" i="13"/>
  <c r="H141" i="13"/>
  <c r="I141" i="13"/>
  <c r="J141" i="13"/>
  <c r="F141" i="13"/>
  <c r="G58" i="14"/>
  <c r="H58" i="14"/>
  <c r="I58" i="14"/>
  <c r="J58" i="14"/>
  <c r="F58" i="14"/>
  <c r="J112" i="15"/>
  <c r="G112" i="15"/>
  <c r="H112" i="15"/>
  <c r="I112" i="15"/>
  <c r="F112" i="15"/>
  <c r="G63" i="16"/>
  <c r="H63" i="16"/>
  <c r="I63" i="16"/>
  <c r="J63" i="16"/>
  <c r="F63" i="16"/>
  <c r="G32" i="17"/>
  <c r="H32" i="17"/>
  <c r="I32" i="17"/>
  <c r="J32" i="17"/>
  <c r="F32" i="17"/>
  <c r="C162" i="7"/>
  <c r="C168" i="2" l="1"/>
  <c r="C113" i="15"/>
  <c r="C142" i="13"/>
  <c r="C59" i="14"/>
  <c r="C134" i="9"/>
  <c r="C92" i="3"/>
</calcChain>
</file>

<file path=xl/sharedStrings.xml><?xml version="1.0" encoding="utf-8"?>
<sst xmlns="http://schemas.openxmlformats.org/spreadsheetml/2006/main" count="4902" uniqueCount="825">
  <si>
    <t>00</t>
  </si>
  <si>
    <t>ประตูชัย</t>
  </si>
  <si>
    <t>02</t>
  </si>
  <si>
    <t>03</t>
  </si>
  <si>
    <t>04</t>
  </si>
  <si>
    <t>05</t>
  </si>
  <si>
    <t>06</t>
  </si>
  <si>
    <t>07</t>
  </si>
  <si>
    <t>08</t>
  </si>
  <si>
    <t>09</t>
  </si>
  <si>
    <t>กะมัง</t>
  </si>
  <si>
    <t>10</t>
  </si>
  <si>
    <t>11</t>
  </si>
  <si>
    <t>12</t>
  </si>
  <si>
    <t>หอรัตนไชย</t>
  </si>
  <si>
    <t>77</t>
  </si>
  <si>
    <t>หัวรอ</t>
  </si>
  <si>
    <t>01</t>
  </si>
  <si>
    <t>ท่าวาสุกรี</t>
  </si>
  <si>
    <t>ไผ่ลิง</t>
  </si>
  <si>
    <t>ปากกราน</t>
  </si>
  <si>
    <t>13</t>
  </si>
  <si>
    <t>14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</si>
  <si>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</si>
  <si>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</si>
  <si>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</si>
  <si>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</si>
  <si>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</si>
  <si>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</si>
  <si>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</si>
  <si>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บ้านใหม่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</si>
  <si>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</si>
  <si>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</si>
  <si>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</si>
  <si>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</si>
  <si>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</si>
  <si>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</si>
  <si>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</si>
  <si>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จำปา</t>
  </si>
  <si>
    <t>ท่าหลวง</t>
  </si>
  <si>
    <t>บ้านร่อม</t>
  </si>
  <si>
    <t>ศาลาลอย</t>
  </si>
  <si>
    <t>15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</si>
  <si>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</si>
  <si>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</si>
  <si>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</si>
  <si>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</si>
  <si>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</si>
  <si>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</si>
  <si>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</si>
  <si>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</si>
  <si>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</si>
  <si>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</si>
  <si>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</si>
  <si>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</si>
  <si>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</si>
  <si>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</si>
  <si>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</si>
  <si>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</si>
  <si>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</si>
  <si>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</si>
  <si>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</si>
  <si>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</si>
  <si>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</si>
  <si>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หน้าไม้</t>
  </si>
  <si>
    <t>บางยี่โท</t>
  </si>
  <si>
    <t>แคออก</t>
  </si>
  <si>
    <t>แคตก</t>
  </si>
  <si>
    <t>ช่างเหล็ก</t>
  </si>
  <si>
    <t>กระแชง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</si>
  <si>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</si>
  <si>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</si>
  <si>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</si>
  <si>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</si>
  <si>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</si>
  <si>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</si>
  <si>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</si>
  <si>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</si>
  <si>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</si>
  <si>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</si>
  <si>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เชียงรากน้อย</t>
  </si>
  <si>
    <t>โคกช้าง</t>
  </si>
  <si>
    <t>บางบาล</t>
  </si>
  <si>
    <t>วัดยม</t>
  </si>
  <si>
    <t>ไทรน้อย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</si>
  <si>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</si>
  <si>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</si>
  <si>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</si>
  <si>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</si>
  <si>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</si>
  <si>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</si>
  <si>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</si>
  <si>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</si>
  <si>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</si>
  <si>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</si>
  <si>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</si>
  <si>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</si>
  <si>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</si>
  <si>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</si>
  <si>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บ้านโพ</t>
  </si>
  <si>
    <t>บ้านกรด</t>
  </si>
  <si>
    <t>บางกระสั้น</t>
  </si>
  <si>
    <t>16</t>
  </si>
  <si>
    <t>17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</si>
  <si>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</si>
  <si>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</si>
  <si>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</si>
  <si>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</si>
  <si>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</si>
  <si>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</si>
  <si>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</si>
  <si>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ตลิ่งชัน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</si>
  <si>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</si>
  <si>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</si>
  <si>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</si>
  <si>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</si>
  <si>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</si>
  <si>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</si>
  <si>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</si>
  <si>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</si>
  <si>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</si>
  <si>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</si>
  <si>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</si>
  <si>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</si>
  <si>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</si>
  <si>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</si>
  <si>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</si>
  <si>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</si>
  <si>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</si>
  <si>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</si>
  <si>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</si>
  <si>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</si>
  <si>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</si>
  <si>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</si>
  <si>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</si>
  <si>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</si>
  <si>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</si>
  <si>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</si>
  <si>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</si>
  <si>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</si>
  <si>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</si>
  <si>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</si>
  <si>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</si>
  <si>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</si>
  <si>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</si>
  <si>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</si>
  <si>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</si>
  <si>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</si>
  <si>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</si>
  <si>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</si>
  <si>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</si>
  <si>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</si>
  <si>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</si>
  <si>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</si>
  <si>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</si>
  <si>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</si>
  <si>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</si>
  <si>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</si>
  <si>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</si>
  <si>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</si>
  <si>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</si>
  <si>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ลำตาเสา</t>
  </si>
  <si>
    <t>บ่อตาโล่</t>
  </si>
  <si>
    <t>วังน้อย</t>
  </si>
  <si>
    <t>ลำไทร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</si>
  <si>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</si>
  <si>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</si>
  <si>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</si>
  <si>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</si>
  <si>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</si>
  <si>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</si>
  <si>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</si>
  <si>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</si>
  <si>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</si>
  <si>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</si>
  <si>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</si>
  <si>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</si>
  <si>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</si>
  <si>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</si>
  <si>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</si>
  <si>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</si>
  <si>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</si>
  <si>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</si>
  <si>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</si>
  <si>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</si>
  <si>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</si>
  <si>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</si>
  <si>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</si>
  <si>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</si>
  <si>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</si>
  <si>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</si>
  <si>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</si>
  <si>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</si>
  <si>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</si>
  <si>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</si>
  <si>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</si>
  <si>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</si>
  <si>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</si>
  <si>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</si>
  <si>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อุทัย</t>
  </si>
  <si>
    <t>หนองน้ำส้ม</t>
  </si>
  <si>
    <t>โพสาวหาญ</t>
  </si>
  <si>
    <t>ธนู</t>
  </si>
  <si>
    <t>ข้าวเม่า</t>
  </si>
  <si>
    <t>หัวไผ่</t>
  </si>
  <si>
    <t>กะทุ่ม</t>
  </si>
  <si>
    <t>มหาราช</t>
  </si>
  <si>
    <t>บางนา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</si>
  <si>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</si>
  <si>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</si>
  <si>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</si>
  <si>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</si>
  <si>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</si>
  <si>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</si>
  <si>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บ้านแพรก</t>
  </si>
  <si>
    <t>สำพะเนียง</t>
  </si>
  <si>
    <t>คลองน้อย</t>
  </si>
  <si>
    <t>สองห้อง</t>
  </si>
  <si>
    <t>ประกันสังคม</t>
  </si>
  <si>
    <t>ข้าราชการ</t>
  </si>
  <si>
    <t>อปท.</t>
  </si>
  <si>
    <t>ยังไม่ระบุสิทธิ</t>
  </si>
  <si>
    <t>หมู่</t>
  </si>
  <si>
    <t>ตำบล</t>
  </si>
  <si>
    <t>สอทธิมากกว่า 1 สิทธิ</t>
  </si>
  <si>
    <t>อปท</t>
  </si>
  <si>
    <t>มากกว่า 1 กองทุน</t>
  </si>
  <si>
    <t>ข้าราชหาร</t>
  </si>
  <si>
    <t>ยังไม่มีระบุสิทธิ</t>
  </si>
  <si>
    <t>จำนวนประชาการ Non UC อำเภอบ้านแพรก</t>
  </si>
  <si>
    <t>ข้อมูลจาก dbpop สปสช ณ เมษายน 2562</t>
  </si>
  <si>
    <t>รวม</t>
  </si>
  <si>
    <t>หมู่ที่</t>
  </si>
  <si>
    <t>มากกว่า 12 กองทุน</t>
  </si>
  <si>
    <t>จำนวนประชาการ Non UC อำเภออุทัย</t>
  </si>
  <si>
    <t>จำนวนประชาการ Non UC อำเภอมหาราช</t>
  </si>
  <si>
    <t>จำนวนประชาการ Non UC อำเภอบางซ้าย</t>
  </si>
  <si>
    <t>จำนวนประชาการ Non UC อำเภอเสนา</t>
  </si>
  <si>
    <t>สิมธิมากกว่า 1 กองทุน</t>
  </si>
  <si>
    <t>จำนวนประชาการ Non UC อำเภอวังน้อย</t>
  </si>
  <si>
    <t>สิทธิมากกว่า 1 กองทุน</t>
  </si>
  <si>
    <t>จำนวนประชาการ Non UC อำเภอลาดบัวหลวง</t>
  </si>
  <si>
    <t>สิทธิมากกว่า 1กองทุน</t>
  </si>
  <si>
    <t>จำนวนประชาการ Non UC อำเภอภาชี</t>
  </si>
  <si>
    <t>จำนวนประชาการ Non UC อำเภอผักไห่</t>
  </si>
  <si>
    <t>จำนวนประชาการ Non UC อำเภอบางปะหัน</t>
  </si>
  <si>
    <t>สิทธมากกว่า 1 กองทุน</t>
  </si>
  <si>
    <t>จำนวนประชาการ Non UC อำเภอบางปะอิน</t>
  </si>
  <si>
    <t>จำนวนประชาการ Non UC อำเภอบางบาล</t>
  </si>
  <si>
    <t>จำนวนประชาการ Non UC อำเภอบางไทร</t>
  </si>
  <si>
    <t>จำนวนประชาการ Non UC อำเภอนครหลวง</t>
  </si>
  <si>
    <t>จำนวนประชาการ Non UC อำเภอท่าเรือ</t>
  </si>
  <si>
    <t>จำนวนประชาการ Non UC อำเภอพระนครศรีอยุธยา</t>
  </si>
  <si>
    <t>HMAIN</t>
  </si>
  <si>
    <t>หน่วยบริการประจำ</t>
  </si>
  <si>
    <t>hsub</t>
  </si>
  <si>
    <t>หน่วยบริการปฐมภูมิ</t>
  </si>
  <si>
    <t>จำนวนประชากร</t>
  </si>
  <si>
    <t>10660</t>
  </si>
  <si>
    <t>รพ.พระนครศรีอยุธยา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</si>
  <si>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</si>
  <si>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</si>
  <si>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</si>
  <si>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</si>
  <si>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</si>
  <si>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</si>
  <si>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</si>
  <si>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</si>
  <si>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</si>
  <si>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</si>
  <si>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</si>
  <si>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</si>
  <si>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</si>
  <si>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</si>
  <si>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</si>
  <si>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</si>
  <si>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</si>
  <si>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</si>
  <si>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</si>
  <si>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</si>
  <si>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</si>
  <si>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</si>
  <si>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</si>
  <si>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</si>
  <si>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</si>
  <si>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</si>
  <si>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</si>
  <si>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</si>
  <si>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</si>
  <si>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</si>
  <si>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</si>
  <si>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</si>
  <si>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</si>
  <si>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</si>
  <si>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</si>
  <si>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</si>
  <si>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01193</t>
  </si>
  <si>
    <t>สอ.ต.บ้านแป้ง</t>
  </si>
  <si>
    <t>01196</t>
  </si>
  <si>
    <t>สอ.ต.แคออก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</si>
  <si>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</si>
  <si>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</si>
  <si>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</si>
  <si>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</si>
  <si>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</si>
  <si>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</si>
  <si>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01216</t>
  </si>
  <si>
    <t>สอ.ต.ไทรน้อย</t>
  </si>
  <si>
    <t>01228</t>
  </si>
  <si>
    <t>สอ.ต.บ้านกุ่ม</t>
  </si>
  <si>
    <t>01232</t>
  </si>
  <si>
    <t>สอ.ต.บ้านกรด</t>
  </si>
  <si>
    <t>01233</t>
  </si>
  <si>
    <t>สอ.ขนอนเหนือ</t>
  </si>
  <si>
    <t>01236</t>
  </si>
  <si>
    <t>สอ.ต.บ้านหว้า</t>
  </si>
  <si>
    <t>01238</t>
  </si>
  <si>
    <t>สอ.ต.บางประแดง</t>
  </si>
  <si>
    <t>01239</t>
  </si>
  <si>
    <t>สอ.ต.สามเรือน</t>
  </si>
  <si>
    <t>01244</t>
  </si>
  <si>
    <t>สอ.ต.คุ้งลาน</t>
  </si>
  <si>
    <t>01246</t>
  </si>
  <si>
    <t>สอ.บ้านลานเท</t>
  </si>
  <si>
    <t>01248</t>
  </si>
  <si>
    <t>สอ.ต.ขนอนหลวง</t>
  </si>
  <si>
    <t>01250</t>
  </si>
  <si>
    <t>สอ.ต.ขยาย</t>
  </si>
  <si>
    <t>01261</t>
  </si>
  <si>
    <t>สอ.ต.โพธิ์สามต้น</t>
  </si>
  <si>
    <t>01262</t>
  </si>
  <si>
    <t>สอ.ต.พุทเลา</t>
  </si>
  <si>
    <t>06047</t>
  </si>
  <si>
    <t>10471</t>
  </si>
  <si>
    <t>10472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</si>
  <si>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</si>
  <si>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</si>
  <si>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</si>
  <si>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</si>
  <si>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</si>
  <si>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</si>
  <si>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</si>
  <si>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</si>
  <si>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</si>
  <si>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</si>
  <si>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</si>
  <si>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21485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</si>
  <si>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</si>
  <si>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</si>
  <si>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</si>
  <si>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</si>
  <si>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10688</t>
  </si>
  <si>
    <t>รพ.เสนา</t>
  </si>
  <si>
    <t>01191</t>
  </si>
  <si>
    <t>สอ.ต.บางพลี</t>
  </si>
  <si>
    <t>01194</t>
  </si>
  <si>
    <t>สอ.ต.หน้าไม้</t>
  </si>
  <si>
    <t>01195</t>
  </si>
  <si>
    <t>สอ.ต.บางยี่โท</t>
  </si>
  <si>
    <t>01197</t>
  </si>
  <si>
    <t>สอ.ต.แคตก</t>
  </si>
  <si>
    <t>01198</t>
  </si>
  <si>
    <t>สอ.ต.ช่างเหล็ก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</si>
  <si>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</si>
  <si>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</si>
  <si>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</si>
  <si>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</si>
  <si>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</si>
  <si>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</si>
  <si>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</si>
  <si>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</si>
  <si>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</si>
  <si>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</si>
  <si>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</si>
  <si>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01213</t>
  </si>
  <si>
    <t>สอ.ต.โคกช้าง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</si>
  <si>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</si>
  <si>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</si>
  <si>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</si>
  <si>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</si>
  <si>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</si>
  <si>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</si>
  <si>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01269</t>
  </si>
  <si>
    <t>สอ.ต.ท่าดินแดง</t>
  </si>
  <si>
    <t>01287</t>
  </si>
  <si>
    <t>สอ.ต.หลักชัย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</si>
  <si>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</si>
  <si>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</si>
  <si>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</si>
  <si>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</si>
  <si>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</si>
  <si>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สอ.ต.คู้สลอด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</si>
  <si>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</si>
  <si>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</si>
  <si>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</si>
  <si>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</si>
  <si>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</si>
  <si>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</si>
  <si>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</si>
  <si>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</si>
  <si>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</si>
  <si>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</si>
  <si>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</si>
  <si>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</si>
  <si>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</si>
  <si>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</si>
  <si>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</si>
  <si>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</si>
  <si>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</si>
  <si>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</si>
  <si>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</si>
  <si>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</si>
  <si>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</si>
  <si>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</si>
  <si>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</si>
  <si>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</si>
  <si>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</si>
  <si>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</si>
  <si>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</si>
  <si>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</si>
  <si>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</si>
  <si>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</si>
  <si>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</si>
  <si>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</si>
  <si>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</si>
  <si>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</si>
  <si>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</si>
  <si>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</si>
  <si>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</si>
  <si>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</si>
  <si>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14915</t>
  </si>
  <si>
    <t>สอ.ต.ลาดบัวหลวง</t>
  </si>
  <si>
    <t>10768</t>
  </si>
  <si>
    <t>รพ.ท่าเรือ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</si>
  <si>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</si>
  <si>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</si>
  <si>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</si>
  <si>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</si>
  <si>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</si>
  <si>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</si>
  <si>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</si>
  <si>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</si>
  <si>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</si>
  <si>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</si>
  <si>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</si>
  <si>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</si>
  <si>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</si>
  <si>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</si>
  <si>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</si>
  <si>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</si>
  <si>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</si>
  <si>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</si>
  <si>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</si>
  <si>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</si>
  <si>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</si>
  <si>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</si>
  <si>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</si>
  <si>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01180</t>
  </si>
  <si>
    <t>สอ.ต.ท่าช้าง</t>
  </si>
  <si>
    <t>01189</t>
  </si>
  <si>
    <t>สอ.ต.สามไถ</t>
  </si>
  <si>
    <t>10769</t>
  </si>
  <si>
    <t>รพ.สมเด็จพระสังฆราช(นครหลวง)</t>
  </si>
  <si>
    <t>01179</t>
  </si>
  <si>
    <t>สอ.เฉลิมพระเกียรติ 60 พรรษา นวมินทราชินี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</si>
  <si>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</si>
  <si>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</si>
  <si>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</si>
  <si>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</si>
  <si>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</si>
  <si>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</si>
  <si>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</si>
  <si>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</si>
  <si>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</si>
  <si>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</si>
  <si>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</si>
  <si>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</si>
  <si>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</si>
  <si>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</si>
  <si>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</si>
  <si>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</si>
  <si>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01190</t>
  </si>
  <si>
    <t>สอ.ต.พระนอน</t>
  </si>
  <si>
    <t>01251</t>
  </si>
  <si>
    <t>สอ.ต.บางเดื่อ</t>
  </si>
  <si>
    <t>01337</t>
  </si>
  <si>
    <t>สอ.ต.ข้าวเม่า</t>
  </si>
  <si>
    <t>01338</t>
  </si>
  <si>
    <t>สอ.บ้านหนองคัดเค้า</t>
  </si>
  <si>
    <t>10770</t>
  </si>
  <si>
    <t>รพ.บางไทร</t>
  </si>
  <si>
    <t>01192</t>
  </si>
  <si>
    <t>สอ.ต.สนามไชย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</si>
  <si>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</si>
  <si>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</si>
  <si>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</si>
  <si>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</si>
  <si>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</si>
  <si>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</si>
  <si>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</si>
  <si>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</si>
  <si>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</si>
  <si>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</si>
  <si>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10771</t>
  </si>
  <si>
    <t>รพ.บางบาล</t>
  </si>
  <si>
    <t>01214</t>
  </si>
  <si>
    <t>สอ.ต.บางบาล</t>
  </si>
  <si>
    <t>01215</t>
  </si>
  <si>
    <t>สอ.ต.วัดยม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</si>
  <si>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</si>
  <si>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</si>
  <si>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</si>
  <si>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</si>
  <si>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</si>
  <si>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</si>
  <si>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</si>
  <si>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</si>
  <si>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</si>
  <si>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</si>
  <si>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</si>
  <si>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</si>
  <si>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</si>
  <si>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</si>
  <si>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</si>
  <si>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</si>
  <si>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10772</t>
  </si>
  <si>
    <t>รพ.บางปะอิน</t>
  </si>
  <si>
    <t>01229</t>
  </si>
  <si>
    <t>สอ.คลองเปรม</t>
  </si>
  <si>
    <t>01230</t>
  </si>
  <si>
    <t>01231</t>
  </si>
  <si>
    <t>สอ.ต.บ้านโพ</t>
  </si>
  <si>
    <t>01234</t>
  </si>
  <si>
    <t>สอ.ต.บางกระสั้น</t>
  </si>
  <si>
    <t>01235</t>
  </si>
  <si>
    <t>สอ.ต.คลองจิก</t>
  </si>
  <si>
    <t>01237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</si>
  <si>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</si>
  <si>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</si>
  <si>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</si>
  <si>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</si>
  <si>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</si>
  <si>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</si>
  <si>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01245</t>
  </si>
  <si>
    <t>สอ.ต.ตลิ่งชัน</t>
  </si>
  <si>
    <t>01247</t>
  </si>
  <si>
    <t>สอ.ต.ตลาดเกรียบ</t>
  </si>
  <si>
    <t>01296</t>
  </si>
  <si>
    <t>สอ.ต.บ่อตาโล่</t>
  </si>
  <si>
    <t>01299</t>
  </si>
  <si>
    <t>สอ.ต.พยอม</t>
  </si>
  <si>
    <t>10773</t>
  </si>
  <si>
    <t>รพ.บางปะหัน</t>
  </si>
  <si>
    <t>01249</t>
  </si>
  <si>
    <t>สอ.อำเภอบางปะหัน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</si>
  <si>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</si>
  <si>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</si>
  <si>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</si>
  <si>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</si>
  <si>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</si>
  <si>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</si>
  <si>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</si>
  <si>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</si>
  <si>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</si>
  <si>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</si>
  <si>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</si>
  <si>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</si>
  <si>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</si>
  <si>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</si>
  <si>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</si>
  <si>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</si>
  <si>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</si>
  <si>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01263</t>
  </si>
  <si>
    <t>สอ.ต.ตาลเอน</t>
  </si>
  <si>
    <t>01264</t>
  </si>
  <si>
    <t>สอ.ต.บ้านขล้อ</t>
  </si>
  <si>
    <t>10774</t>
  </si>
  <si>
    <t>รพ.ผักไห่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</si>
  <si>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</si>
  <si>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</si>
  <si>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</si>
  <si>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</si>
  <si>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</si>
  <si>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</si>
  <si>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</si>
  <si>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</si>
  <si>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</si>
  <si>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</si>
  <si>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</si>
  <si>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</si>
  <si>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</si>
  <si>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</si>
  <si>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</si>
  <si>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</si>
  <si>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</si>
  <si>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</si>
  <si>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</si>
  <si>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</si>
  <si>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</si>
  <si>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</si>
  <si>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</si>
  <si>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</si>
  <si>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</si>
  <si>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</si>
  <si>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</si>
  <si>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10775</t>
  </si>
  <si>
    <t>รพ.ภาชี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</si>
  <si>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</si>
  <si>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</si>
  <si>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</si>
  <si>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</si>
  <si>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</si>
  <si>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</si>
  <si>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</si>
  <si>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</si>
  <si>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</si>
  <si>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</si>
  <si>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</si>
  <si>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</si>
  <si>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</si>
  <si>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</si>
  <si>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01332</t>
  </si>
  <si>
    <t>สอ.ต.หนองไม้ซุง</t>
  </si>
  <si>
    <t>01333</t>
  </si>
  <si>
    <t>สอ.ต.เสนา</t>
  </si>
  <si>
    <t>01335</t>
  </si>
  <si>
    <t>สอ.ต.โพสาวหาญ</t>
  </si>
  <si>
    <t>10776</t>
  </si>
  <si>
    <t>รพ.ลาดบัวหลวง</t>
  </si>
  <si>
    <t>01288</t>
  </si>
  <si>
    <t>สอ.ต.สามเมือง</t>
  </si>
  <si>
    <t>01290</t>
  </si>
  <si>
    <t>สอ.ต.สิงหนาท</t>
  </si>
  <si>
    <t>01293</t>
  </si>
  <si>
    <t>สอ.ต.พระยาบันลือ</t>
  </si>
  <si>
    <t>01325</t>
  </si>
  <si>
    <t>สอ.ต.เทพมงคล</t>
  </si>
  <si>
    <t>10777</t>
  </si>
  <si>
    <t>รพ.วังน้อย</t>
  </si>
  <si>
    <t>01294</t>
  </si>
  <si>
    <t>สอ.ต.วังน้อย</t>
  </si>
  <si>
    <t>01295</t>
  </si>
  <si>
    <t>สอ.ต.ลำตาเสา</t>
  </si>
  <si>
    <t>01297</t>
  </si>
  <si>
    <t>สอ.บ้านหนองโสน</t>
  </si>
  <si>
    <t>01298</t>
  </si>
  <si>
    <t>สอ.ต.สนับทึบ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</si>
  <si>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</si>
  <si>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</si>
  <si>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</si>
  <si>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</si>
  <si>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</si>
  <si>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</si>
  <si>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</si>
  <si>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</si>
  <si>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01329</t>
  </si>
  <si>
    <t>สอ.ต.บ้านช้าง</t>
  </si>
  <si>
    <t>01334</t>
  </si>
  <si>
    <t>สอ.ต.หนองน้ำส้ม</t>
  </si>
  <si>
    <t>10778</t>
  </si>
  <si>
    <t>รพ.บางซ้าย</t>
  </si>
  <si>
    <t>01321</t>
  </si>
  <si>
    <t>สอ.ต.แก้วฟ้า</t>
  </si>
  <si>
    <t>01326</t>
  </si>
  <si>
    <t>สอ.ต.วังพัฒนา</t>
  </si>
  <si>
    <t>10779</t>
  </si>
  <si>
    <t>รพ.อุทัย</t>
  </si>
  <si>
    <t>01327</t>
  </si>
  <si>
    <t>สอ.อำเภออุทัย</t>
  </si>
  <si>
    <t>01328</t>
  </si>
  <si>
    <t>สอ.ต.คานหาม</t>
  </si>
  <si>
    <t>01330</t>
  </si>
  <si>
    <t>สอ.ต.สามบัณฑิต</t>
  </si>
  <si>
    <t>01331</t>
  </si>
  <si>
    <t>สอ.ต.บ้านหีบ</t>
  </si>
  <si>
    <t>01336</t>
  </si>
  <si>
    <t>สอ.ต.ธนู</t>
  </si>
  <si>
    <t>10780</t>
  </si>
  <si>
    <t>รพ.มหาราช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</si>
  <si>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</si>
  <si>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</si>
  <si>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</si>
  <si>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</si>
  <si>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</si>
  <si>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</si>
  <si>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</si>
  <si>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</si>
  <si>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</si>
  <si>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</si>
  <si>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</si>
  <si>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</si>
  <si>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</si>
  <si>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</si>
  <si>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</si>
  <si>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</si>
  <si>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</si>
  <si>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</si>
  <si>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</si>
  <si>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</si>
  <si>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</si>
  <si>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</si>
  <si>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10781</t>
  </si>
  <si>
    <t>รพ.บ้านแพรก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</si>
  <si>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</si>
  <si>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</si>
  <si>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</si>
  <si>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</si>
  <si>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</si>
  <si>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</si>
  <si>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</si>
  <si>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</si>
  <si>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 xml:space="preserve"> ศูนย์เวชปฎิบัติครอบครัว</t>
  </si>
  <si>
    <t>ศูนย์แพทย์ สำนักงานสาธารณสุขพระนครศรีอยุธยา</t>
  </si>
  <si>
    <t>ศูนย์แพทย์ป้อมเพชร</t>
  </si>
  <si>
    <t>ศูนย์แพทย์วัดอินทาราม</t>
  </si>
  <si>
    <t xml:space="preserve">  ศูนย์แพทย์วัดตึก</t>
  </si>
  <si>
    <t>รหัสหน่วยบริการ</t>
  </si>
  <si>
    <t>จำนวนประชากร UC</t>
  </si>
  <si>
    <t>จำนวนประชากร NonUC</t>
  </si>
  <si>
    <t>จำนวนประชากร UC รายหน่วยบริการปฐมภูมิ อำเภอพระนครศรีอยุธยา</t>
  </si>
  <si>
    <t>ข้อมูลจาก รายงานสถิติ VR สปสช. ณ เมษายน 2562</t>
  </si>
  <si>
    <t>รวมประชากรอำเภอพระนครศรีอยุธยาทั้งหมด</t>
  </si>
  <si>
    <t>จำนวนประชากร UC รายหน่วยบริการปฐมภูมิ อำเภอท่าเรือ</t>
  </si>
  <si>
    <t>รวมประชากร UC</t>
  </si>
  <si>
    <t>รวมประชากรอำเภอท่าเรือ</t>
  </si>
  <si>
    <t>จำนวนประชากร UC รายหน่วยบริการปฐมภูมิ อำเภอนครหลวง</t>
  </si>
  <si>
    <t>รวมประชากรอำเภอนครหลวง ทั้งหมด</t>
  </si>
  <si>
    <t>จำนวนประชากร UC รายหน่วยบริการปฐมภูมิ อำเภอบางไทร</t>
  </si>
  <si>
    <t>รวมประชากรอำเภอบางไทร ทั้งหมด</t>
  </si>
  <si>
    <t>จำนวนประชากร UC รายหน่วยบริการปฐมภูมิ อำเภอบางบาล</t>
  </si>
  <si>
    <t>รวมประชากร Uc</t>
  </si>
  <si>
    <t>รวมประชากรอำเภอบางบาล ทั้งหมด</t>
  </si>
  <si>
    <t>จำนวนประชากร UC รายหน่วยบริการปฐมภูมิ อำเภอบางปะอิน</t>
  </si>
  <si>
    <t>รวมประชากรอำเภอบางปะอิน ทั้งหมด</t>
  </si>
  <si>
    <t>จำนวนประชากร UC รายหน่วยบริการปฐมภูมิ อำเภอบางปะหัน</t>
  </si>
  <si>
    <t>รวมประชากรอำเภอบางปะหัน ทั้งหมด</t>
  </si>
  <si>
    <t>จำนวนประชากร UC รายหน่วยบริการปฐมภูมิ อำเภอผักไห่</t>
  </si>
  <si>
    <t>Iรวมประชากรอำเภอผักไห่ ทั้งหมด</t>
  </si>
  <si>
    <t>จำนวนประชากร UC รายหน่วยบริการปฐมภูมิ อำเภอภาชี</t>
  </si>
  <si>
    <t xml:space="preserve">รวมประชากรอำเภอภาชี ทั้งหมด </t>
  </si>
  <si>
    <t>รวมประชากรอำเภอลาดบัวหลวง ทั้งหมด</t>
  </si>
  <si>
    <t>จำนวนประชากร UC รายหน่วยบริการปฐมภูมิ อำเภอวังน้อย</t>
  </si>
  <si>
    <t>จำนวนประชากร UC รายหน่วยบริการปฐมภูมิ อำเภอลาดบัวหลวง</t>
  </si>
  <si>
    <t>รวมประกชากรอำเภอวังน้อย ทั้งหมด</t>
  </si>
  <si>
    <t>จำนวนประชากร UC รายหน่วยบริการปฐมภูมิ อำเภอเสนา</t>
  </si>
  <si>
    <t>รวมประชากรอำเภอเสนา ทั้งหมด</t>
  </si>
  <si>
    <t>จำนวนประชากร UC รายหน่วยบริการปฐมภูมิ อำเภอบางซ้าย</t>
  </si>
  <si>
    <t>รวมประชากรอำเภอบางซ้าย ทั้งหมด</t>
  </si>
  <si>
    <t>จำนวนประชากร UC รายหน่วยบริการปฐมภูมิ อำเภออุทัย</t>
  </si>
  <si>
    <t>รวมประชากรอำเภออุทัย ทั้งหมด</t>
  </si>
  <si>
    <t>จำนวนประชากร UC รายหน่วยบริการปฐมภูมิ อำเภอมหาราช</t>
  </si>
  <si>
    <t>รวมประชากรอำเภอมหาราช ทั้งหมด</t>
  </si>
  <si>
    <t>จำนวนประชากร UC รายหน่วยบริการปฐมภูมิ อำเภอบ้านแพรก</t>
  </si>
  <si>
    <t>รวมจำนวนประชากร UC</t>
  </si>
  <si>
    <t>รวมประชากรอำเภอบ้านแพรกทั้งหมด</t>
  </si>
  <si>
    <t>จำนวนประชากร UC พื้นที่รอยต่ออำเภอ จังหวัดพระนครศรีอยุธยา</t>
  </si>
  <si>
    <t>ข้อมูลจากรายงานสำนักงานหลักประกันสุขภาพแห่งชาติ VR ณ เมษายน 2562</t>
  </si>
  <si>
    <t>อำเภอ</t>
  </si>
  <si>
    <t>รวมอำเภอบางไทร</t>
  </si>
  <si>
    <t>รวมอำเภอบางบาล</t>
  </si>
  <si>
    <t>บางปะอิน</t>
  </si>
  <si>
    <t>รวมอำเภอบางปะอิน</t>
  </si>
  <si>
    <t>รวมอำเภอบางปะหัน</t>
  </si>
  <si>
    <t>รวมประชากร UC พื้นที่รอยต่อ อำเภอพระนครศรีอยุธยา</t>
  </si>
  <si>
    <t>รวมอำเภอผักไห่</t>
  </si>
  <si>
    <t>รวมอำเภอลาดบัวหลวง</t>
  </si>
  <si>
    <t>รวมอำเภอบางซ้าย</t>
  </si>
  <si>
    <t>รวมอำเภอนครหลวง</t>
  </si>
  <si>
    <t>รวมประชากร UC พื้นที่รอยต่ออำเภอเสนา</t>
  </si>
  <si>
    <t>พระนครศรีอยุธยา</t>
  </si>
  <si>
    <t>รวมอำเภอพระนครศรีอยุธยา</t>
  </si>
  <si>
    <t>รวมอำเภอท่าเรือ</t>
  </si>
  <si>
    <t>รวมอำเภออุทัย</t>
  </si>
  <si>
    <t>รวมประชากร UC พื้นที่รอบต่ออำเภอนครหลวง</t>
  </si>
  <si>
    <t>รวมประชากร UC พื้นที่รอยต่ออำเภอบางไทร</t>
  </si>
  <si>
    <t>รวมประชากร UC พื้นที่รอยต่ออำเภอบางบาล</t>
  </si>
  <si>
    <t>รวมอำเภอวังน้อย</t>
  </si>
  <si>
    <t>รวมประชากร UC พื้นที่รอยต่ออำเภอบางปะอิน</t>
  </si>
  <si>
    <t>รวมประชากร UC พื้นที่รอยต่ออำเภอบางปะหัน</t>
  </si>
  <si>
    <t>รวมประชากร UC พื้นที่รอยต่ออำเภอภาชี</t>
  </si>
  <si>
    <t>รวมประชากร UC พื้นที่รอยต่ออำเภอลาดบัวหลวง</t>
  </si>
  <si>
    <t>รวมประชากร UC พื้นที่รอยต่ออำเภอวังน้อย</t>
  </si>
  <si>
    <t>รวมอำเภอภาชี</t>
  </si>
  <si>
    <t>รวมประชากร UC พื้นที่รอยต่ออำเภออุทัย</t>
  </si>
  <si>
    <t>รวมประชกร UC พื้นที่รอยต่ออำเภอมหาราช</t>
  </si>
  <si>
    <t>รวมอำเภอมหาราช</t>
  </si>
  <si>
    <t>รวมประชากร UC พื้นที่รอยต่ออำเภอบ้านแพรก</t>
  </si>
  <si>
    <t>สมเด็จพระสังฆราช</t>
  </si>
  <si>
    <t>โรงพยาบาล</t>
  </si>
  <si>
    <t>จำนวนประชากร UC จังหวัดพระนครศรีอยุธยา</t>
  </si>
  <si>
    <t>ข้อมูล VR จาก สปสช. ณ เมษายน 2562</t>
  </si>
  <si>
    <t>สิทธิมากกว่า 1 สิทธิ</t>
  </si>
  <si>
    <t>รวมทุกสิทธิ</t>
  </si>
  <si>
    <t>S</t>
  </si>
  <si>
    <t>M</t>
  </si>
  <si>
    <t>L</t>
  </si>
  <si>
    <t>3,001-8,000</t>
  </si>
  <si>
    <t>8,001 ขึนไป</t>
  </si>
  <si>
    <t>รหัส</t>
  </si>
  <si>
    <t>ผลรวมทั้งหมด</t>
  </si>
  <si>
    <t>s</t>
  </si>
  <si>
    <t>m</t>
  </si>
  <si>
    <t>l</t>
  </si>
  <si>
    <t>CUP จัดสรรจริง</t>
  </si>
  <si>
    <t>%</t>
  </si>
  <si>
    <t>สสจ คำนวณ</t>
  </si>
  <si>
    <t>ค่าเฉลี่ย ของ %</t>
  </si>
  <si>
    <t>จำนวน รพ.สต</t>
  </si>
  <si>
    <t>คำนวณ ปี 63</t>
  </si>
  <si>
    <t>POP</t>
  </si>
  <si>
    <t>บาท</t>
  </si>
  <si>
    <t>SIZE</t>
  </si>
  <si>
    <t>ข้อมูลเดิม</t>
  </si>
  <si>
    <t>ขนาด(แก้ไข)</t>
  </si>
  <si>
    <t>ตารางโอน fix cost  ปี2563</t>
  </si>
  <si>
    <t>วันที่โอน</t>
  </si>
  <si>
    <t>CUP</t>
  </si>
  <si>
    <t>จัดสรรจริง</t>
  </si>
  <si>
    <t>ณ วันที่</t>
  </si>
  <si>
    <t>สอ.ต.บ้านแป้ง 2</t>
  </si>
  <si>
    <t>สอ.ต.บ้านแป้ง 1</t>
  </si>
  <si>
    <t>นับจำนวน ของ 11</t>
  </si>
  <si>
    <t>ป้ายชื่อคอลัมน์</t>
  </si>
  <si>
    <t>ป้ายชื่อแถว</t>
  </si>
  <si>
    <t>สอ.ต.โพธิ์เอน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</si>
</sst>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[$-1070000]d/m/yy;@"/>
    <numFmt numFmtId="190" formatCode="[$-107041E]d\ mmm\ yy;@"/>
    <numFmt numFmtId="191" formatCode="#,##0.00_ ;\-#,##0.00\ "/>
  </numFmts>
  <fonts count="17" x14ac:knownFonts="1">
    <font>
      <sz val="10"/>
      <name val="MS Sans Serif"/>
    </font>
    <font>
      <sz val="10"/>
      <name val="MS Sans Serif"/>
      <family val="2"/>
      <charset val="222"/>
    </font>
    <font>
      <sz val="16"/>
      <name val="TH SarabunPSK"/>
      <family val="2"/>
    </font>
    <font>
      <sz val="10"/>
      <name val="MS Sans Serif"/>
      <family val="2"/>
      <charset val="22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0"/>
      <color theme="0"/>
      <name val="MS Sans Serif"/>
      <family val="2"/>
      <charset val="22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u val="singleAccounting"/>
      <sz val="16"/>
      <name val="TH SarabunPSK"/>
      <family val="2"/>
    </font>
    <font>
      <b/>
      <u/>
      <sz val="16"/>
      <name val="TH SarabunPSK"/>
      <family val="2"/>
    </font>
    <font>
      <sz val="10"/>
      <color rgb="FFFF0000"/>
      <name val="MS Sans Serif"/>
      <family val="2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name val="TH SarabunPSK"/>
    </font>
    <font>
      <sz val="18"/>
      <name val="TH SarabunPSK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quotePrefix="1" applyNumberFormat="1"/>
    <xf numFmtId="0" fontId="2" fillId="0" borderId="0" xfId="0" applyFont="1"/>
    <xf numFmtId="0" fontId="2" fillId="2" borderId="0" xfId="0" quotePrefix="1" applyNumberFormat="1" applyFont="1" applyFill="1"/>
    <xf numFmtId="0" fontId="0" fillId="2" borderId="0" xfId="0" quotePrefix="1" applyNumberFormat="1" applyFill="1"/>
    <xf numFmtId="0" fontId="0" fillId="2" borderId="0" xfId="0" applyFill="1"/>
    <xf numFmtId="0" fontId="2" fillId="3" borderId="0" xfId="0" quotePrefix="1" applyNumberFormat="1" applyFont="1" applyFill="1"/>
    <xf numFmtId="0" fontId="2" fillId="4" borderId="0" xfId="0" quotePrefix="1" applyNumberFormat="1" applyFont="1" applyFill="1"/>
    <xf numFmtId="0" fontId="2" fillId="4" borderId="0" xfId="0" applyFont="1" applyFill="1"/>
    <xf numFmtId="0" fontId="0" fillId="3" borderId="0" xfId="0" quotePrefix="1" applyNumberFormat="1" applyFill="1"/>
    <xf numFmtId="0" fontId="0" fillId="3" borderId="0" xfId="0" applyFill="1"/>
    <xf numFmtId="0" fontId="0" fillId="0" borderId="0" xfId="0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3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quotePrefix="1" applyNumberFormat="1" applyFont="1" applyFill="1" applyBorder="1"/>
    <xf numFmtId="0" fontId="2" fillId="5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87" fontId="2" fillId="5" borderId="1" xfId="1" applyNumberFormat="1" applyFont="1" applyFill="1" applyBorder="1" applyAlignment="1">
      <alignment horizontal="center"/>
    </xf>
    <xf numFmtId="0" fontId="2" fillId="6" borderId="1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5" borderId="1" xfId="0" applyFont="1" applyFill="1" applyBorder="1" applyAlignment="1"/>
    <xf numFmtId="0" fontId="2" fillId="7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quotePrefix="1" applyNumberFormat="1" applyFont="1" applyFill="1" applyBorder="1"/>
    <xf numFmtId="0" fontId="2" fillId="8" borderId="1" xfId="0" quotePrefix="1" applyNumberFormat="1" applyFont="1" applyFill="1" applyBorder="1" applyAlignment="1">
      <alignment horizontal="center"/>
    </xf>
    <xf numFmtId="187" fontId="2" fillId="8" borderId="1" xfId="1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quotePrefix="1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0" fontId="2" fillId="10" borderId="1" xfId="0" quotePrefix="1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quotePrefix="1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87" fontId="2" fillId="9" borderId="1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quotePrefix="1" applyNumberFormat="1" applyFont="1" applyFill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NumberFormat="1" applyFill="1" applyBorder="1" applyAlignment="1">
      <alignment horizontal="center"/>
    </xf>
    <xf numFmtId="187" fontId="1" fillId="5" borderId="1" xfId="1" applyNumberFormat="1" applyFont="1" applyFill="1" applyBorder="1" applyAlignment="1">
      <alignment horizontal="center"/>
    </xf>
    <xf numFmtId="0" fontId="2" fillId="12" borderId="1" xfId="0" quotePrefix="1" applyNumberFormat="1" applyFont="1" applyFill="1" applyBorder="1"/>
    <xf numFmtId="0" fontId="2" fillId="12" borderId="1" xfId="0" applyFont="1" applyFill="1" applyBorder="1"/>
    <xf numFmtId="0" fontId="2" fillId="4" borderId="1" xfId="0" quotePrefix="1" applyNumberFormat="1" applyFont="1" applyFill="1" applyBorder="1"/>
    <xf numFmtId="0" fontId="2" fillId="4" borderId="1" xfId="0" applyFont="1" applyFill="1" applyBorder="1"/>
    <xf numFmtId="0" fontId="2" fillId="13" borderId="1" xfId="0" quotePrefix="1" applyNumberFormat="1" applyFont="1" applyFill="1" applyBorder="1"/>
    <xf numFmtId="0" fontId="2" fillId="13" borderId="1" xfId="0" applyFont="1" applyFill="1" applyBorder="1"/>
    <xf numFmtId="187" fontId="2" fillId="12" borderId="1" xfId="1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10" borderId="0" xfId="0" applyFont="1" applyFill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187" fontId="2" fillId="0" borderId="0" xfId="1" applyNumberFormat="1" applyFont="1" applyAlignment="1">
      <alignment horizontal="center"/>
    </xf>
    <xf numFmtId="187" fontId="2" fillId="12" borderId="0" xfId="1" applyNumberFormat="1" applyFont="1" applyFill="1" applyAlignment="1">
      <alignment horizontal="center"/>
    </xf>
    <xf numFmtId="187" fontId="2" fillId="4" borderId="0" xfId="1" quotePrefix="1" applyNumberFormat="1" applyFont="1" applyFill="1" applyAlignment="1">
      <alignment horizontal="center"/>
    </xf>
    <xf numFmtId="187" fontId="2" fillId="4" borderId="0" xfId="1" applyNumberFormat="1" applyFont="1" applyFill="1" applyAlignment="1">
      <alignment horizontal="center"/>
    </xf>
    <xf numFmtId="0" fontId="2" fillId="13" borderId="0" xfId="0" quotePrefix="1" applyNumberFormat="1" applyFont="1" applyFill="1"/>
    <xf numFmtId="187" fontId="2" fillId="13" borderId="0" xfId="1" quotePrefix="1" applyNumberFormat="1" applyFont="1" applyFill="1" applyAlignment="1">
      <alignment horizontal="center"/>
    </xf>
    <xf numFmtId="0" fontId="2" fillId="13" borderId="0" xfId="0" applyFont="1" applyFill="1"/>
    <xf numFmtId="187" fontId="2" fillId="13" borderId="0" xfId="1" applyNumberFormat="1" applyFont="1" applyFill="1" applyAlignment="1">
      <alignment horizontal="center"/>
    </xf>
    <xf numFmtId="0" fontId="2" fillId="7" borderId="0" xfId="0" quotePrefix="1" applyNumberFormat="1" applyFont="1" applyFill="1"/>
    <xf numFmtId="0" fontId="2" fillId="7" borderId="0" xfId="0" applyFont="1" applyFill="1"/>
    <xf numFmtId="0" fontId="2" fillId="3" borderId="0" xfId="0" applyFont="1" applyFill="1"/>
    <xf numFmtId="0" fontId="2" fillId="11" borderId="0" xfId="0" applyFont="1" applyFill="1"/>
    <xf numFmtId="0" fontId="2" fillId="9" borderId="0" xfId="0" applyFont="1" applyFill="1"/>
    <xf numFmtId="187" fontId="2" fillId="9" borderId="0" xfId="1" applyNumberFormat="1" applyFont="1" applyFill="1" applyAlignment="1">
      <alignment horizontal="center"/>
    </xf>
    <xf numFmtId="0" fontId="2" fillId="0" borderId="1" xfId="0" applyFont="1" applyBorder="1"/>
    <xf numFmtId="187" fontId="2" fillId="1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187" fontId="2" fillId="5" borderId="1" xfId="0" applyNumberFormat="1" applyFont="1" applyFill="1" applyBorder="1"/>
    <xf numFmtId="0" fontId="2" fillId="5" borderId="0" xfId="0" applyFont="1" applyFill="1" applyBorder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87" fontId="2" fillId="5" borderId="0" xfId="1" applyNumberFormat="1" applyFont="1" applyFill="1" applyAlignment="1">
      <alignment horizontal="center"/>
    </xf>
    <xf numFmtId="0" fontId="2" fillId="3" borderId="0" xfId="0" quotePrefix="1" applyNumberFormat="1" applyFont="1" applyFill="1" applyAlignment="1">
      <alignment horizontal="center"/>
    </xf>
    <xf numFmtId="0" fontId="2" fillId="2" borderId="0" xfId="0" quotePrefix="1" applyNumberFormat="1" applyFont="1" applyFill="1" applyAlignment="1">
      <alignment horizontal="center"/>
    </xf>
    <xf numFmtId="187" fontId="2" fillId="5" borderId="1" xfId="0" applyNumberFormat="1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0" fillId="10" borderId="0" xfId="0" quotePrefix="1" applyNumberFormat="1" applyFill="1"/>
    <xf numFmtId="0" fontId="0" fillId="11" borderId="0" xfId="0" quotePrefix="1" applyNumberFormat="1" applyFill="1"/>
    <xf numFmtId="187" fontId="2" fillId="0" borderId="0" xfId="1" applyNumberFormat="1" applyFont="1"/>
    <xf numFmtId="187" fontId="0" fillId="0" borderId="0" xfId="1" quotePrefix="1" applyNumberFormat="1" applyFont="1"/>
    <xf numFmtId="187" fontId="1" fillId="3" borderId="0" xfId="1" quotePrefix="1" applyNumberFormat="1" applyFont="1" applyFill="1"/>
    <xf numFmtId="187" fontId="2" fillId="3" borderId="0" xfId="1" applyNumberFormat="1" applyFont="1" applyFill="1"/>
    <xf numFmtId="187" fontId="1" fillId="2" borderId="0" xfId="1" quotePrefix="1" applyNumberFormat="1" applyFont="1" applyFill="1"/>
    <xf numFmtId="187" fontId="2" fillId="2" borderId="0" xfId="1" applyNumberFormat="1" applyFont="1" applyFill="1"/>
    <xf numFmtId="0" fontId="0" fillId="7" borderId="0" xfId="0" quotePrefix="1" applyNumberFormat="1" applyFill="1"/>
    <xf numFmtId="187" fontId="1" fillId="7" borderId="0" xfId="1" quotePrefix="1" applyNumberFormat="1" applyFont="1" applyFill="1"/>
    <xf numFmtId="187" fontId="2" fillId="7" borderId="0" xfId="1" applyNumberFormat="1" applyFont="1" applyFill="1"/>
    <xf numFmtId="187" fontId="1" fillId="10" borderId="0" xfId="1" quotePrefix="1" applyNumberFormat="1" applyFont="1" applyFill="1"/>
    <xf numFmtId="187" fontId="2" fillId="10" borderId="0" xfId="1" applyNumberFormat="1" applyFont="1" applyFill="1"/>
    <xf numFmtId="187" fontId="2" fillId="5" borderId="0" xfId="1" applyNumberFormat="1" applyFont="1" applyFill="1"/>
    <xf numFmtId="187" fontId="2" fillId="5" borderId="1" xfId="1" applyNumberFormat="1" applyFont="1" applyFill="1" applyBorder="1"/>
    <xf numFmtId="0" fontId="2" fillId="5" borderId="0" xfId="0" applyFont="1" applyFill="1" applyAlignment="1">
      <alignment horizontal="center"/>
    </xf>
    <xf numFmtId="187" fontId="2" fillId="0" borderId="0" xfId="0" applyNumberFormat="1" applyFont="1" applyAlignment="1">
      <alignment horizontal="center"/>
    </xf>
    <xf numFmtId="187" fontId="2" fillId="14" borderId="0" xfId="1" applyNumberFormat="1" applyFont="1" applyFill="1" applyAlignment="1">
      <alignment horizontal="center"/>
    </xf>
    <xf numFmtId="187" fontId="0" fillId="0" borderId="0" xfId="1" applyNumberFormat="1" applyFont="1"/>
    <xf numFmtId="187" fontId="1" fillId="3" borderId="0" xfId="1" applyNumberFormat="1" applyFont="1" applyFill="1"/>
    <xf numFmtId="187" fontId="1" fillId="2" borderId="0" xfId="1" applyNumberFormat="1" applyFont="1" applyFill="1"/>
    <xf numFmtId="187" fontId="1" fillId="11" borderId="0" xfId="1" quotePrefix="1" applyNumberFormat="1" applyFont="1" applyFill="1"/>
    <xf numFmtId="0" fontId="0" fillId="5" borderId="0" xfId="0" applyFill="1"/>
    <xf numFmtId="187" fontId="1" fillId="5" borderId="0" xfId="1" applyNumberFormat="1" applyFont="1" applyFill="1"/>
    <xf numFmtId="0" fontId="3" fillId="5" borderId="0" xfId="0" applyFont="1" applyFill="1"/>
    <xf numFmtId="0" fontId="2" fillId="8" borderId="0" xfId="0" applyFont="1" applyFill="1" applyAlignment="1">
      <alignment horizontal="center"/>
    </xf>
    <xf numFmtId="187" fontId="2" fillId="8" borderId="0" xfId="1" applyNumberFormat="1" applyFont="1" applyFill="1" applyAlignment="1">
      <alignment horizontal="center"/>
    </xf>
    <xf numFmtId="0" fontId="2" fillId="8" borderId="0" xfId="0" applyFont="1" applyFill="1"/>
    <xf numFmtId="187" fontId="2" fillId="8" borderId="0" xfId="1" applyNumberFormat="1" applyFont="1" applyFill="1"/>
    <xf numFmtId="0" fontId="0" fillId="6" borderId="0" xfId="0" quotePrefix="1" applyNumberFormat="1" applyFill="1"/>
    <xf numFmtId="187" fontId="1" fillId="6" borderId="0" xfId="1" quotePrefix="1" applyNumberFormat="1" applyFont="1" applyFill="1"/>
    <xf numFmtId="0" fontId="2" fillId="6" borderId="0" xfId="0" applyFont="1" applyFill="1"/>
    <xf numFmtId="187" fontId="2" fillId="6" borderId="0" xfId="1" applyNumberFormat="1" applyFont="1" applyFill="1"/>
    <xf numFmtId="187" fontId="2" fillId="7" borderId="0" xfId="1" quotePrefix="1" applyNumberFormat="1" applyFont="1" applyFill="1"/>
    <xf numFmtId="0" fontId="2" fillId="6" borderId="0" xfId="0" quotePrefix="1" applyNumberFormat="1" applyFont="1" applyFill="1"/>
    <xf numFmtId="187" fontId="2" fillId="6" borderId="0" xfId="1" quotePrefix="1" applyNumberFormat="1" applyFont="1" applyFill="1"/>
    <xf numFmtId="0" fontId="2" fillId="9" borderId="0" xfId="0" applyFont="1" applyFill="1" applyAlignment="1">
      <alignment horizontal="center"/>
    </xf>
    <xf numFmtId="187" fontId="2" fillId="9" borderId="0" xfId="1" applyNumberFormat="1" applyFont="1" applyFill="1"/>
    <xf numFmtId="187" fontId="2" fillId="11" borderId="0" xfId="1" applyNumberFormat="1" applyFont="1" applyFill="1"/>
    <xf numFmtId="187" fontId="2" fillId="2" borderId="0" xfId="1" quotePrefix="1" applyNumberFormat="1" applyFont="1" applyFill="1"/>
    <xf numFmtId="187" fontId="2" fillId="3" borderId="0" xfId="1" quotePrefix="1" applyNumberFormat="1" applyFont="1" applyFill="1"/>
    <xf numFmtId="0" fontId="2" fillId="10" borderId="0" xfId="0" quotePrefix="1" applyNumberFormat="1" applyFont="1" applyFill="1"/>
    <xf numFmtId="187" fontId="2" fillId="10" borderId="0" xfId="1" quotePrefix="1" applyNumberFormat="1" applyFont="1" applyFill="1"/>
    <xf numFmtId="0" fontId="2" fillId="5" borderId="0" xfId="0" quotePrefix="1" applyNumberFormat="1" applyFont="1" applyFill="1"/>
    <xf numFmtId="0" fontId="2" fillId="17" borderId="0" xfId="0" quotePrefix="1" applyNumberFormat="1" applyFont="1" applyFill="1"/>
    <xf numFmtId="187" fontId="2" fillId="17" borderId="0" xfId="1" quotePrefix="1" applyNumberFormat="1" applyFont="1" applyFill="1"/>
    <xf numFmtId="0" fontId="2" fillId="9" borderId="0" xfId="0" quotePrefix="1" applyNumberFormat="1" applyFont="1" applyFill="1"/>
    <xf numFmtId="0" fontId="2" fillId="18" borderId="0" xfId="0" quotePrefix="1" applyNumberFormat="1" applyFont="1" applyFill="1"/>
    <xf numFmtId="187" fontId="2" fillId="18" borderId="0" xfId="1" quotePrefix="1" applyNumberFormat="1" applyFont="1" applyFill="1"/>
    <xf numFmtId="187" fontId="4" fillId="18" borderId="3" xfId="1" quotePrefix="1" applyNumberFormat="1" applyFont="1" applyFill="1" applyBorder="1"/>
    <xf numFmtId="0" fontId="2" fillId="11" borderId="0" xfId="0" quotePrefix="1" applyNumberFormat="1" applyFont="1" applyFill="1"/>
    <xf numFmtId="187" fontId="2" fillId="11" borderId="0" xfId="1" quotePrefix="1" applyNumberFormat="1" applyFont="1" applyFill="1"/>
    <xf numFmtId="187" fontId="4" fillId="11" borderId="3" xfId="1" quotePrefix="1" applyNumberFormat="1" applyFont="1" applyFill="1" applyBorder="1"/>
    <xf numFmtId="187" fontId="2" fillId="18" borderId="3" xfId="1" quotePrefix="1" applyNumberFormat="1" applyFont="1" applyFill="1" applyBorder="1"/>
    <xf numFmtId="187" fontId="2" fillId="11" borderId="3" xfId="1" applyNumberFormat="1" applyFont="1" applyFill="1" applyBorder="1"/>
    <xf numFmtId="0" fontId="2" fillId="9" borderId="3" xfId="0" quotePrefix="1" applyNumberFormat="1" applyFont="1" applyFill="1" applyBorder="1"/>
    <xf numFmtId="187" fontId="4" fillId="9" borderId="3" xfId="1" quotePrefix="1" applyNumberFormat="1" applyFont="1" applyFill="1" applyBorder="1"/>
    <xf numFmtId="187" fontId="4" fillId="3" borderId="3" xfId="1" quotePrefix="1" applyNumberFormat="1" applyFont="1" applyFill="1" applyBorder="1"/>
    <xf numFmtId="187" fontId="4" fillId="2" borderId="3" xfId="1" quotePrefix="1" applyNumberFormat="1" applyFont="1" applyFill="1" applyBorder="1"/>
    <xf numFmtId="187" fontId="4" fillId="3" borderId="3" xfId="1" applyNumberFormat="1" applyFont="1" applyFill="1" applyBorder="1"/>
    <xf numFmtId="187" fontId="2" fillId="2" borderId="7" xfId="1" quotePrefix="1" applyNumberFormat="1" applyFont="1" applyFill="1" applyBorder="1"/>
    <xf numFmtId="187" fontId="4" fillId="5" borderId="3" xfId="1" quotePrefix="1" applyNumberFormat="1" applyFont="1" applyFill="1" applyBorder="1"/>
    <xf numFmtId="187" fontId="4" fillId="10" borderId="3" xfId="1" quotePrefix="1" applyNumberFormat="1" applyFont="1" applyFill="1" applyBorder="1"/>
    <xf numFmtId="0" fontId="4" fillId="9" borderId="3" xfId="0" quotePrefix="1" applyNumberFormat="1" applyFont="1" applyFill="1" applyBorder="1"/>
    <xf numFmtId="0" fontId="4" fillId="5" borderId="3" xfId="0" quotePrefix="1" applyNumberFormat="1" applyFont="1" applyFill="1" applyBorder="1"/>
    <xf numFmtId="187" fontId="4" fillId="18" borderId="7" xfId="1" quotePrefix="1" applyNumberFormat="1" applyFont="1" applyFill="1" applyBorder="1"/>
    <xf numFmtId="187" fontId="4" fillId="3" borderId="7" xfId="1" quotePrefix="1" applyNumberFormat="1" applyFont="1" applyFill="1" applyBorder="1"/>
    <xf numFmtId="0" fontId="2" fillId="11" borderId="0" xfId="0" quotePrefix="1" applyNumberFormat="1" applyFont="1" applyFill="1" applyBorder="1"/>
    <xf numFmtId="187" fontId="2" fillId="11" borderId="0" xfId="1" quotePrefix="1" applyNumberFormat="1" applyFont="1" applyFill="1" applyBorder="1"/>
    <xf numFmtId="187" fontId="4" fillId="10" borderId="7" xfId="1" quotePrefix="1" applyNumberFormat="1" applyFont="1" applyFill="1" applyBorder="1"/>
    <xf numFmtId="187" fontId="4" fillId="2" borderId="7" xfId="1" quotePrefix="1" applyNumberFormat="1" applyFont="1" applyFill="1" applyBorder="1"/>
    <xf numFmtId="187" fontId="4" fillId="10" borderId="3" xfId="1" applyNumberFormat="1" applyFont="1" applyFill="1" applyBorder="1"/>
    <xf numFmtId="0" fontId="4" fillId="9" borderId="3" xfId="0" applyFont="1" applyFill="1" applyBorder="1"/>
    <xf numFmtId="187" fontId="4" fillId="9" borderId="3" xfId="1" applyNumberFormat="1" applyFont="1" applyFill="1" applyBorder="1"/>
    <xf numFmtId="187" fontId="2" fillId="12" borderId="0" xfId="1" applyNumberFormat="1" applyFont="1" applyFill="1"/>
    <xf numFmtId="187" fontId="2" fillId="0" borderId="0" xfId="0" applyNumberFormat="1" applyFont="1"/>
    <xf numFmtId="0" fontId="2" fillId="3" borderId="1" xfId="0" quotePrefix="1" applyNumberFormat="1" applyFont="1" applyFill="1" applyBorder="1"/>
    <xf numFmtId="0" fontId="2" fillId="7" borderId="1" xfId="0" quotePrefix="1" applyNumberFormat="1" applyFont="1" applyFill="1" applyBorder="1"/>
    <xf numFmtId="0" fontId="2" fillId="6" borderId="1" xfId="0" quotePrefix="1" applyNumberFormat="1" applyFont="1" applyFill="1" applyBorder="1"/>
    <xf numFmtId="0" fontId="2" fillId="10" borderId="1" xfId="0" quotePrefix="1" applyNumberFormat="1" applyFont="1" applyFill="1" applyBorder="1"/>
    <xf numFmtId="0" fontId="2" fillId="11" borderId="1" xfId="0" quotePrefix="1" applyNumberFormat="1" applyFont="1" applyFill="1" applyBorder="1"/>
    <xf numFmtId="0" fontId="2" fillId="0" borderId="1" xfId="0" applyFont="1" applyFill="1" applyBorder="1" applyAlignment="1">
      <alignment horizontal="center"/>
    </xf>
    <xf numFmtId="188" fontId="2" fillId="4" borderId="1" xfId="1" quotePrefix="1" applyNumberFormat="1" applyFont="1" applyFill="1" applyBorder="1" applyAlignment="1">
      <alignment horizontal="center"/>
    </xf>
    <xf numFmtId="188" fontId="2" fillId="13" borderId="1" xfId="1" quotePrefix="1" applyNumberFormat="1" applyFont="1" applyFill="1" applyBorder="1" applyAlignment="1">
      <alignment horizontal="center"/>
    </xf>
    <xf numFmtId="188" fontId="2" fillId="3" borderId="1" xfId="1" quotePrefix="1" applyNumberFormat="1" applyFont="1" applyFill="1" applyBorder="1" applyAlignment="1">
      <alignment horizontal="center"/>
    </xf>
    <xf numFmtId="188" fontId="2" fillId="2" borderId="1" xfId="1" quotePrefix="1" applyNumberFormat="1" applyFont="1" applyFill="1" applyBorder="1" applyAlignment="1">
      <alignment horizontal="center"/>
    </xf>
    <xf numFmtId="188" fontId="2" fillId="7" borderId="1" xfId="1" quotePrefix="1" applyNumberFormat="1" applyFont="1" applyFill="1" applyBorder="1" applyAlignment="1">
      <alignment horizontal="center"/>
    </xf>
    <xf numFmtId="188" fontId="2" fillId="6" borderId="1" xfId="1" quotePrefix="1" applyNumberFormat="1" applyFont="1" applyFill="1" applyBorder="1" applyAlignment="1">
      <alignment horizontal="center"/>
    </xf>
    <xf numFmtId="188" fontId="2" fillId="10" borderId="1" xfId="1" quotePrefix="1" applyNumberFormat="1" applyFont="1" applyFill="1" applyBorder="1" applyAlignment="1">
      <alignment horizontal="center"/>
    </xf>
    <xf numFmtId="188" fontId="2" fillId="11" borderId="1" xfId="1" quotePrefix="1" applyNumberFormat="1" applyFont="1" applyFill="1" applyBorder="1" applyAlignment="1">
      <alignment horizontal="center"/>
    </xf>
    <xf numFmtId="188" fontId="0" fillId="0" borderId="0" xfId="1" applyNumberFormat="1" applyFont="1" applyAlignment="1">
      <alignment horizontal="center"/>
    </xf>
    <xf numFmtId="188" fontId="2" fillId="0" borderId="1" xfId="1" quotePrefix="1" applyNumberFormat="1" applyFont="1" applyFill="1" applyBorder="1" applyAlignment="1">
      <alignment horizontal="center"/>
    </xf>
    <xf numFmtId="188" fontId="2" fillId="0" borderId="1" xfId="1" applyNumberFormat="1" applyFont="1" applyFill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43" fontId="2" fillId="7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8" fontId="2" fillId="3" borderId="1" xfId="1" applyNumberFormat="1" applyFont="1" applyFill="1" applyBorder="1" applyAlignment="1">
      <alignment horizontal="center" vertical="center"/>
    </xf>
    <xf numFmtId="43" fontId="2" fillId="19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43" fontId="0" fillId="0" borderId="0" xfId="1" applyFont="1"/>
    <xf numFmtId="187" fontId="2" fillId="12" borderId="2" xfId="1" quotePrefix="1" applyNumberFormat="1" applyFont="1" applyFill="1" applyBorder="1"/>
    <xf numFmtId="187" fontId="2" fillId="4" borderId="2" xfId="1" quotePrefix="1" applyNumberFormat="1" applyFont="1" applyFill="1" applyBorder="1"/>
    <xf numFmtId="43" fontId="2" fillId="21" borderId="1" xfId="1" applyFont="1" applyFill="1" applyBorder="1" applyAlignment="1">
      <alignment horizontal="center"/>
    </xf>
    <xf numFmtId="43" fontId="2" fillId="20" borderId="1" xfId="1" applyFont="1" applyFill="1" applyBorder="1" applyAlignment="1">
      <alignment horizontal="center"/>
    </xf>
    <xf numFmtId="0" fontId="2" fillId="20" borderId="1" xfId="0" quotePrefix="1" applyNumberFormat="1" applyFont="1" applyFill="1" applyBorder="1"/>
    <xf numFmtId="0" fontId="2" fillId="20" borderId="1" xfId="0" quotePrefix="1" applyNumberFormat="1" applyFont="1" applyFill="1" applyBorder="1" applyAlignment="1">
      <alignment horizontal="center"/>
    </xf>
    <xf numFmtId="0" fontId="5" fillId="8" borderId="1" xfId="0" quotePrefix="1" applyNumberFormat="1" applyFont="1" applyFill="1" applyBorder="1"/>
    <xf numFmtId="0" fontId="5" fillId="8" borderId="1" xfId="0" quotePrefix="1" applyNumberFormat="1" applyFont="1" applyFill="1" applyBorder="1" applyAlignment="1">
      <alignment horizontal="center"/>
    </xf>
    <xf numFmtId="0" fontId="5" fillId="7" borderId="1" xfId="0" quotePrefix="1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quotePrefix="1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0" borderId="0" xfId="0" quotePrefix="1" applyNumberFormat="1" applyFont="1" applyFill="1"/>
    <xf numFmtId="187" fontId="2" fillId="20" borderId="0" xfId="1" quotePrefix="1" applyNumberFormat="1" applyFont="1" applyFill="1"/>
    <xf numFmtId="0" fontId="5" fillId="20" borderId="1" xfId="0" quotePrefix="1" applyNumberFormat="1" applyFont="1" applyFill="1" applyBorder="1"/>
    <xf numFmtId="0" fontId="5" fillId="20" borderId="1" xfId="0" quotePrefix="1" applyNumberFormat="1" applyFont="1" applyFill="1" applyBorder="1" applyAlignment="1">
      <alignment horizontal="center"/>
    </xf>
    <xf numFmtId="0" fontId="2" fillId="20" borderId="0" xfId="0" applyFont="1" applyFill="1"/>
    <xf numFmtId="187" fontId="2" fillId="20" borderId="0" xfId="1" applyNumberFormat="1" applyFont="1" applyFill="1"/>
    <xf numFmtId="0" fontId="5" fillId="20" borderId="1" xfId="0" applyFont="1" applyFill="1" applyBorder="1" applyAlignment="1">
      <alignment horizontal="center"/>
    </xf>
    <xf numFmtId="0" fontId="2" fillId="7" borderId="0" xfId="0" quotePrefix="1" applyNumberFormat="1" applyFont="1" applyFill="1" applyAlignment="1">
      <alignment shrinkToFit="1"/>
    </xf>
    <xf numFmtId="0" fontId="6" fillId="1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6" borderId="1" xfId="0" quotePrefix="1" applyNumberFormat="1" applyFont="1" applyFill="1" applyBorder="1"/>
    <xf numFmtId="188" fontId="8" fillId="6" borderId="1" xfId="1" quotePrefix="1" applyNumberFormat="1" applyFont="1" applyFill="1" applyBorder="1" applyAlignment="1">
      <alignment horizontal="center"/>
    </xf>
    <xf numFmtId="188" fontId="8" fillId="0" borderId="1" xfId="1" applyNumberFormat="1" applyFont="1" applyFill="1" applyBorder="1" applyAlignment="1">
      <alignment horizontal="center"/>
    </xf>
    <xf numFmtId="188" fontId="8" fillId="0" borderId="1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7" borderId="1" xfId="0" quotePrefix="1" applyNumberFormat="1" applyFont="1" applyFill="1" applyBorder="1"/>
    <xf numFmtId="188" fontId="8" fillId="7" borderId="1" xfId="1" quotePrefix="1" applyNumberFormat="1" applyFont="1" applyFill="1" applyBorder="1" applyAlignment="1">
      <alignment horizontal="center"/>
    </xf>
    <xf numFmtId="187" fontId="10" fillId="20" borderId="0" xfId="0" applyNumberFormat="1" applyFont="1" applyFill="1"/>
    <xf numFmtId="43" fontId="8" fillId="0" borderId="1" xfId="1" applyFont="1" applyBorder="1"/>
    <xf numFmtId="43" fontId="8" fillId="0" borderId="1" xfId="0" applyNumberFormat="1" applyFont="1" applyBorder="1"/>
    <xf numFmtId="0" fontId="9" fillId="23" borderId="1" xfId="0" applyFont="1" applyFill="1" applyBorder="1" applyAlignment="1">
      <alignment horizontal="center"/>
    </xf>
    <xf numFmtId="43" fontId="9" fillId="23" borderId="1" xfId="1" applyFont="1" applyFill="1" applyBorder="1"/>
    <xf numFmtId="0" fontId="11" fillId="20" borderId="0" xfId="0" applyFont="1" applyFill="1"/>
    <xf numFmtId="187" fontId="11" fillId="20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0" borderId="0" xfId="0" quotePrefix="1" applyNumberFormat="1" applyFont="1" applyFill="1" applyBorder="1"/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5" fillId="23" borderId="0" xfId="1" applyFont="1" applyFill="1"/>
    <xf numFmtId="0" fontId="12" fillId="7" borderId="0" xfId="0" quotePrefix="1" applyNumberFormat="1" applyFont="1" applyFill="1"/>
    <xf numFmtId="187" fontId="12" fillId="7" borderId="0" xfId="1" quotePrefix="1" applyNumberFormat="1" applyFont="1" applyFill="1"/>
    <xf numFmtId="0" fontId="5" fillId="7" borderId="0" xfId="0" applyFont="1" applyFill="1"/>
    <xf numFmtId="187" fontId="5" fillId="7" borderId="0" xfId="1" applyNumberFormat="1" applyFont="1" applyFill="1"/>
    <xf numFmtId="0" fontId="2" fillId="23" borderId="1" xfId="0" applyFont="1" applyFill="1" applyBorder="1" applyAlignment="1">
      <alignment horizontal="center"/>
    </xf>
    <xf numFmtId="43" fontId="2" fillId="23" borderId="0" xfId="1" applyFont="1" applyFill="1"/>
    <xf numFmtId="0" fontId="5" fillId="4" borderId="0" xfId="0" quotePrefix="1" applyNumberFormat="1" applyFont="1" applyFill="1"/>
    <xf numFmtId="187" fontId="5" fillId="4" borderId="0" xfId="1" quotePrefix="1" applyNumberFormat="1" applyFont="1" applyFill="1" applyAlignment="1">
      <alignment horizontal="center"/>
    </xf>
    <xf numFmtId="0" fontId="5" fillId="12" borderId="1" xfId="0" quotePrefix="1" applyNumberFormat="1" applyFont="1" applyFill="1" applyBorder="1"/>
    <xf numFmtId="0" fontId="5" fillId="4" borderId="1" xfId="0" quotePrefix="1" applyNumberFormat="1" applyFont="1" applyFill="1" applyBorder="1"/>
    <xf numFmtId="0" fontId="5" fillId="4" borderId="1" xfId="0" applyFont="1" applyFill="1" applyBorder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189" fontId="14" fillId="0" borderId="0" xfId="0" applyNumberFormat="1" applyFont="1"/>
    <xf numFmtId="0" fontId="14" fillId="0" borderId="1" xfId="0" applyFont="1" applyBorder="1"/>
    <xf numFmtId="190" fontId="14" fillId="20" borderId="1" xfId="0" applyNumberFormat="1" applyFont="1" applyFill="1" applyBorder="1"/>
    <xf numFmtId="43" fontId="14" fillId="0" borderId="0" xfId="1" applyFont="1"/>
    <xf numFmtId="43" fontId="14" fillId="0" borderId="0" xfId="0" applyNumberFormat="1" applyFont="1"/>
    <xf numFmtId="0" fontId="14" fillId="0" borderId="1" xfId="0" applyFont="1" applyFill="1" applyBorder="1"/>
    <xf numFmtId="0" fontId="14" fillId="0" borderId="0" xfId="0" applyFont="1" applyFill="1"/>
    <xf numFmtId="43" fontId="14" fillId="0" borderId="0" xfId="1" applyFont="1" applyFill="1"/>
    <xf numFmtId="43" fontId="14" fillId="0" borderId="0" xfId="0" applyNumberFormat="1" applyFont="1" applyFill="1"/>
    <xf numFmtId="14" fontId="14" fillId="0" borderId="0" xfId="0" applyNumberFormat="1" applyFont="1"/>
    <xf numFmtId="2" fontId="14" fillId="0" borderId="0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90" fontId="13" fillId="2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2" fontId="4" fillId="0" borderId="0" xfId="0" applyNumberFormat="1" applyFont="1"/>
    <xf numFmtId="191" fontId="2" fillId="0" borderId="0" xfId="1" applyNumberFormat="1" applyFont="1"/>
    <xf numFmtId="0" fontId="16" fillId="0" borderId="2" xfId="0" applyFont="1" applyBorder="1" applyAlignment="1">
      <alignment horizontal="left"/>
    </xf>
    <xf numFmtId="43" fontId="16" fillId="0" borderId="1" xfId="0" applyNumberFormat="1" applyFont="1" applyBorder="1"/>
    <xf numFmtId="0" fontId="16" fillId="0" borderId="2" xfId="0" applyNumberFormat="1" applyFont="1" applyBorder="1"/>
    <xf numFmtId="0" fontId="16" fillId="0" borderId="2" xfId="0" applyFont="1" applyFill="1" applyBorder="1" applyAlignment="1">
      <alignment horizontal="left"/>
    </xf>
    <xf numFmtId="43" fontId="16" fillId="0" borderId="1" xfId="0" applyNumberFormat="1" applyFont="1" applyFill="1" applyBorder="1"/>
    <xf numFmtId="0" fontId="16" fillId="0" borderId="2" xfId="0" applyNumberFormat="1" applyFont="1" applyFill="1" applyBorder="1"/>
    <xf numFmtId="0" fontId="16" fillId="0" borderId="0" xfId="0" applyFont="1" applyAlignment="1">
      <alignment horizontal="left"/>
    </xf>
    <xf numFmtId="43" fontId="16" fillId="0" borderId="0" xfId="0" applyNumberFormat="1" applyFont="1"/>
    <xf numFmtId="0" fontId="16" fillId="0" borderId="0" xfId="0" applyNumberFormat="1" applyFont="1"/>
    <xf numFmtId="0" fontId="15" fillId="0" borderId="2" xfId="0" pivotButton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3" fontId="2" fillId="20" borderId="0" xfId="1" applyFont="1" applyFill="1"/>
    <xf numFmtId="1" fontId="16" fillId="0" borderId="1" xfId="0" applyNumberFormat="1" applyFont="1" applyBorder="1"/>
    <xf numFmtId="1" fontId="16" fillId="0" borderId="1" xfId="0" applyNumberFormat="1" applyFont="1" applyFill="1" applyBorder="1"/>
    <xf numFmtId="1" fontId="16" fillId="0" borderId="0" xfId="0" applyNumberFormat="1" applyFont="1"/>
    <xf numFmtId="0" fontId="2" fillId="12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2" fillId="16" borderId="0" xfId="0" applyFont="1" applyFill="1" applyAlignment="1">
      <alignment horizontal="center"/>
    </xf>
    <xf numFmtId="0" fontId="2" fillId="18" borderId="3" xfId="0" quotePrefix="1" applyNumberFormat="1" applyFont="1" applyFill="1" applyBorder="1" applyAlignment="1">
      <alignment horizontal="center"/>
    </xf>
    <xf numFmtId="0" fontId="2" fillId="11" borderId="3" xfId="0" quotePrefix="1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9" borderId="3" xfId="0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3" xfId="0" quotePrefix="1" applyNumberFormat="1" applyFont="1" applyFill="1" applyBorder="1" applyAlignment="1">
      <alignment horizontal="center"/>
    </xf>
    <xf numFmtId="0" fontId="4" fillId="3" borderId="3" xfId="0" quotePrefix="1" applyNumberFormat="1" applyFont="1" applyFill="1" applyBorder="1" applyAlignment="1">
      <alignment horizontal="center"/>
    </xf>
    <xf numFmtId="0" fontId="2" fillId="2" borderId="7" xfId="0" quotePrefix="1" applyNumberFormat="1" applyFont="1" applyFill="1" applyBorder="1" applyAlignment="1">
      <alignment horizontal="center"/>
    </xf>
    <xf numFmtId="0" fontId="4" fillId="5" borderId="3" xfId="0" quotePrefix="1" applyNumberFormat="1" applyFont="1" applyFill="1" applyBorder="1" applyAlignment="1">
      <alignment horizontal="center"/>
    </xf>
    <xf numFmtId="0" fontId="4" fillId="11" borderId="3" xfId="0" quotePrefix="1" applyNumberFormat="1" applyFont="1" applyFill="1" applyBorder="1" applyAlignment="1">
      <alignment horizontal="center"/>
    </xf>
    <xf numFmtId="0" fontId="4" fillId="10" borderId="3" xfId="0" quotePrefix="1" applyNumberFormat="1" applyFont="1" applyFill="1" applyBorder="1" applyAlignment="1">
      <alignment horizontal="center"/>
    </xf>
    <xf numFmtId="0" fontId="2" fillId="10" borderId="0" xfId="0" quotePrefix="1" applyNumberFormat="1" applyFont="1" applyFill="1" applyAlignment="1">
      <alignment horizontal="center"/>
    </xf>
    <xf numFmtId="0" fontId="4" fillId="9" borderId="3" xfId="0" quotePrefix="1" applyNumberFormat="1" applyFont="1" applyFill="1" applyBorder="1" applyAlignment="1">
      <alignment horizontal="center"/>
    </xf>
    <xf numFmtId="0" fontId="4" fillId="18" borderId="7" xfId="0" quotePrefix="1" applyNumberFormat="1" applyFont="1" applyFill="1" applyBorder="1" applyAlignment="1">
      <alignment horizontal="center"/>
    </xf>
    <xf numFmtId="0" fontId="4" fillId="3" borderId="7" xfId="0" quotePrefix="1" applyNumberFormat="1" applyFont="1" applyFill="1" applyBorder="1" applyAlignment="1">
      <alignment horizontal="center"/>
    </xf>
    <xf numFmtId="0" fontId="4" fillId="10" borderId="7" xfId="0" quotePrefix="1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7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22" borderId="1" xfId="0" applyFont="1" applyFill="1" applyBorder="1" applyAlignment="1">
      <alignment horizontal="center"/>
    </xf>
    <xf numFmtId="188" fontId="2" fillId="12" borderId="9" xfId="1" quotePrefix="1" applyNumberFormat="1" applyFont="1" applyFill="1" applyBorder="1" applyAlignment="1">
      <alignment horizontal="center" vertical="center"/>
    </xf>
    <xf numFmtId="188" fontId="2" fillId="12" borderId="8" xfId="1" quotePrefix="1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88" fontId="2" fillId="5" borderId="9" xfId="1" applyNumberFormat="1" applyFont="1" applyFill="1" applyBorder="1" applyAlignment="1">
      <alignment horizontal="center" vertical="center"/>
    </xf>
    <xf numFmtId="188" fontId="2" fillId="5" borderId="8" xfId="1" applyNumberFormat="1" applyFont="1" applyFill="1" applyBorder="1" applyAlignment="1">
      <alignment horizontal="center" vertical="center"/>
    </xf>
    <xf numFmtId="43" fontId="2" fillId="0" borderId="9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8" fontId="2" fillId="12" borderId="9" xfId="1" applyNumberFormat="1" applyFont="1" applyFill="1" applyBorder="1" applyAlignment="1">
      <alignment horizontal="center" vertical="center"/>
    </xf>
    <xf numFmtId="188" fontId="2" fillId="12" borderId="8" xfId="1" applyNumberFormat="1" applyFont="1" applyFill="1" applyBorder="1" applyAlignment="1">
      <alignment horizontal="center" vertical="center"/>
    </xf>
    <xf numFmtId="188" fontId="2" fillId="3" borderId="9" xfId="1" applyNumberFormat="1" applyFont="1" applyFill="1" applyBorder="1" applyAlignment="1">
      <alignment horizontal="center" vertical="center"/>
    </xf>
    <xf numFmtId="188" fontId="2" fillId="3" borderId="8" xfId="1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9">
    <dxf>
      <numFmt numFmtId="1" formatCode="0"/>
    </dxf>
    <dxf>
      <alignment wrapText="1" readingOrder="0"/>
    </dxf>
    <dxf>
      <alignment wrapText="1" readingOrder="0"/>
    </dxf>
    <dxf>
      <font>
        <sz val="18"/>
      </font>
    </dxf>
    <dxf>
      <font>
        <name val="TH SarabunPSK"/>
        <scheme val="none"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5" formatCode="_-* #,##0.00_-;\-* #,##0.00_-;_-* &quot;-&quot;??_-;_-@_-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391584</xdr:colOff>
      <xdr:row>9</xdr:row>
      <xdr:rowOff>26534</xdr:rowOff>
    </xdr:from>
    <xdr:to>
      <xdr:col>4</xdr:col>
      <xdr:colOff>1079500</xdr:colOff>
      <xdr:row>9</xdr:row>
      <xdr:rowOff>285749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1" y="2693534"/>
          <a:ext cx="687916" cy="2592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" refreshedDate="44123.429374537038" createdVersion="4" refreshedVersion="4" minRefreshableVersion="3" recordCount="205">
  <cacheSource type="worksheet">
    <worksheetSource ref="A4:Q209" sheet="total (OK)"/>
  </cacheSource>
  <cacheFields count="17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188">
      <sharedItems containsSemiMixedTypes="0" containsString="0" containsNumber="1" containsInteger="1" minValue="241" maxValue="9921"/>
    </cacheField>
    <cacheField name="5" numFmtId="188">
      <sharedItems containsSemiMixedTypes="0" containsString="0" containsNumber="1" containsInteger="1" minValue="0" maxValue="4730"/>
    </cacheField>
    <cacheField name="6" numFmtId="188">
      <sharedItems containsSemiMixedTypes="0" containsString="0" containsNumber="1" containsInteger="1" minValue="0" maxValue="997"/>
    </cacheField>
    <cacheField name="7" numFmtId="188">
      <sharedItems containsSemiMixedTypes="0" containsString="0" containsNumber="1" containsInteger="1" minValue="0" maxValue="148"/>
    </cacheField>
    <cacheField name="8" numFmtId="188">
      <sharedItems containsSemiMixedTypes="0" containsString="0" containsNumber="1" containsInteger="1" minValue="0" maxValue="214"/>
    </cacheField>
    <cacheField name="9" numFmtId="188">
      <sharedItems containsSemiMixedTypes="0" containsString="0" containsNumber="1" containsInteger="1" minValue="0" maxValue="11"/>
    </cacheField>
    <cacheField name="10" numFmtId="188">
      <sharedItems containsSemiMixedTypes="0" containsString="0" containsNumber="1" containsInteger="1" minValue="520" maxValue="15893"/>
    </cacheField>
    <cacheField name="11" numFmtId="0">
      <sharedItems/>
    </cacheField>
    <cacheField name="12" numFmtId="0">
      <sharedItems containsString="0" containsBlank="1" containsNumber="1" containsInteger="1" minValue="1" maxValue="1"/>
    </cacheField>
    <cacheField name="13" numFmtId="0">
      <sharedItems containsString="0" containsBlank="1" containsNumber="1" containsInteger="1" minValue="1" maxValue="1"/>
    </cacheField>
    <cacheField name="14" numFmtId="0">
      <sharedItems containsString="0" containsBlank="1" containsNumber="1" containsInteger="1" minValue="1" maxValue="1"/>
    </cacheField>
    <cacheField name="15" numFmtId="43">
      <sharedItems containsSemiMixedTypes="0" containsString="0" containsNumber="1" containsInteger="1" minValue="300000" maxValue="360000"/>
    </cacheField>
    <cacheField name="16" numFmtId="0">
      <sharedItems containsSemiMixedTypes="0" containsString="0" containsNumber="1" minValue="0" maxValue="1120000"/>
    </cacheField>
    <cacheField name="%" numFmtId="43">
      <sharedItems containsSemiMixedTypes="0" containsString="0" containsNumber="1" minValue="0" maxValue="311.11111111111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T" refreshedDate="44123.429375115738" createdVersion="4" refreshedVersion="4" minRefreshableVersion="3" recordCount="205">
  <cacheSource type="worksheet">
    <worksheetSource ref="A4:K209" sheet="total (OK)"/>
  </cacheSource>
  <cacheFields count="11">
    <cacheField name="1" numFmtId="0">
      <sharedItems containsSemiMixedTypes="0" containsString="0" containsNumber="1" containsInteger="1" minValue="10660" maxValue="10781" count="16">
        <n v="10660"/>
        <n v="10688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</sharedItems>
    </cacheField>
    <cacheField name="2" numFmtId="0">
      <sharedItems/>
    </cacheField>
    <cacheField name="3" numFmtId="0">
      <sharedItems/>
    </cacheField>
    <cacheField name="4" numFmtId="188">
      <sharedItems containsSemiMixedTypes="0" containsString="0" containsNumber="1" containsInteger="1" minValue="241" maxValue="9921"/>
    </cacheField>
    <cacheField name="5" numFmtId="188">
      <sharedItems containsSemiMixedTypes="0" containsString="0" containsNumber="1" containsInteger="1" minValue="0" maxValue="4730"/>
    </cacheField>
    <cacheField name="6" numFmtId="188">
      <sharedItems containsSemiMixedTypes="0" containsString="0" containsNumber="1" containsInteger="1" minValue="0" maxValue="997"/>
    </cacheField>
    <cacheField name="7" numFmtId="188">
      <sharedItems containsSemiMixedTypes="0" containsString="0" containsNumber="1" containsInteger="1" minValue="0" maxValue="148"/>
    </cacheField>
    <cacheField name="8" numFmtId="188">
      <sharedItems containsSemiMixedTypes="0" containsString="0" containsNumber="1" containsInteger="1" minValue="0" maxValue="214"/>
    </cacheField>
    <cacheField name="9" numFmtId="188">
      <sharedItems containsSemiMixedTypes="0" containsString="0" containsNumber="1" containsInteger="1" minValue="0" maxValue="11"/>
    </cacheField>
    <cacheField name="10" numFmtId="188">
      <sharedItems containsSemiMixedTypes="0" containsString="0" containsNumber="1" containsInteger="1" minValue="520" maxValue="15893"/>
    </cacheField>
    <cacheField name="11" numFmtId="0">
      <sharedItems count="3">
        <s v="L"/>
        <s v="M"/>
        <s v="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10"/>
    <n v="2155"/>
    <n v="997"/>
    <n v="69"/>
    <n v="142"/>
    <n v="5"/>
    <n v="8378"/>
    <s v="L"/>
    <m/>
    <n v="1"/>
    <m/>
    <n v="360000"/>
    <n v="100000"/>
    <n v="27.777777777777779"/>
  </r>
  <r>
    <x v="0"/>
    <s v="01150"/>
    <s v="สอ.ต.ไผ่ลิง"/>
    <n v="4399"/>
    <n v="1922"/>
    <n v="756"/>
    <n v="70"/>
    <n v="52"/>
    <n v="1"/>
    <n v="7200"/>
    <s v="M"/>
    <m/>
    <m/>
    <n v="1"/>
    <n v="330000"/>
    <n v="300000"/>
    <n v="90.909090909090907"/>
  </r>
  <r>
    <x v="0"/>
    <s v="01151"/>
    <s v="สอ.ต.ปากกราน"/>
    <n v="3769"/>
    <n v="1484"/>
    <n v="540"/>
    <n v="58"/>
    <n v="75"/>
    <n v="1"/>
    <n v="5927"/>
    <s v="M"/>
    <m/>
    <n v="1"/>
    <m/>
    <n v="330000"/>
    <n v="300000"/>
    <n v="90.909090909090907"/>
  </r>
  <r>
    <x v="0"/>
    <s v="01152"/>
    <s v="สอ.ต.ภูเขาทอง"/>
    <n v="1974"/>
    <n v="586"/>
    <n v="163"/>
    <n v="16"/>
    <n v="0"/>
    <n v="2"/>
    <n v="2741"/>
    <s v="S"/>
    <n v="1"/>
    <m/>
    <m/>
    <n v="300000"/>
    <n v="400000"/>
    <n v="133.33333333333334"/>
  </r>
  <r>
    <x v="0"/>
    <s v="01153"/>
    <s v="สอ.ต.สำเภาล่ม"/>
    <n v="4531"/>
    <n v="1732"/>
    <n v="386"/>
    <n v="71"/>
    <n v="89"/>
    <n v="2"/>
    <n v="6811"/>
    <s v="M"/>
    <m/>
    <n v="1"/>
    <m/>
    <n v="330000"/>
    <n v="300000"/>
    <n v="90.909090909090907"/>
  </r>
  <r>
    <x v="0"/>
    <s v="01154"/>
    <s v="สอ.บ้านเพนียด"/>
    <n v="1731"/>
    <n v="624"/>
    <n v="183"/>
    <n v="7"/>
    <n v="0"/>
    <n v="0"/>
    <n v="2545"/>
    <s v="S"/>
    <n v="1"/>
    <m/>
    <m/>
    <n v="300000"/>
    <n v="300000"/>
    <n v="100"/>
  </r>
  <r>
    <x v="0"/>
    <s v="01155"/>
    <s v="สอ.ต.สวนพริก"/>
    <n v="1279"/>
    <n v="375"/>
    <n v="102"/>
    <n v="17"/>
    <n v="11"/>
    <n v="1"/>
    <n v="1785"/>
    <s v="S"/>
    <n v="1"/>
    <m/>
    <m/>
    <n v="300000"/>
    <n v="350000"/>
    <n v="116.66666666666667"/>
  </r>
  <r>
    <x v="0"/>
    <s v="01156"/>
    <s v="สอ.ต.คลองตะเคียน"/>
    <n v="3359"/>
    <n v="1211"/>
    <n v="246"/>
    <n v="36"/>
    <n v="108"/>
    <n v="1"/>
    <n v="4961"/>
    <s v="M"/>
    <m/>
    <n v="1"/>
    <m/>
    <n v="330000"/>
    <n v="600000"/>
    <n v="181.81818181818181"/>
  </r>
  <r>
    <x v="0"/>
    <s v="01157"/>
    <s v="สอ.ต.วัดตูม"/>
    <n v="2480"/>
    <n v="1038"/>
    <n v="693"/>
    <n v="39"/>
    <n v="38"/>
    <n v="4"/>
    <n v="4292"/>
    <s v="M"/>
    <m/>
    <n v="1"/>
    <m/>
    <n v="330000"/>
    <n v="400000"/>
    <n v="121.21212121212122"/>
  </r>
  <r>
    <x v="0"/>
    <s v="01158"/>
    <s v="สอ.ต.หันตรา"/>
    <n v="3612"/>
    <n v="1734"/>
    <n v="831"/>
    <n v="88"/>
    <n v="105"/>
    <n v="3"/>
    <n v="6373"/>
    <s v="M"/>
    <m/>
    <n v="1"/>
    <m/>
    <n v="330000"/>
    <n v="300000"/>
    <n v="90.909090909090907"/>
  </r>
  <r>
    <x v="0"/>
    <s v="01159"/>
    <s v="สอ.ต.ลุมพลี"/>
    <n v="4043"/>
    <n v="1065"/>
    <n v="266"/>
    <n v="29"/>
    <n v="31"/>
    <n v="2"/>
    <n v="5436"/>
    <s v="M"/>
    <m/>
    <n v="1"/>
    <m/>
    <n v="330000"/>
    <n v="550000"/>
    <n v="166.66666666666666"/>
  </r>
  <r>
    <x v="0"/>
    <s v="01160"/>
    <s v="สอ.ต.บ้านใหม่"/>
    <n v="3776"/>
    <n v="1121"/>
    <n v="308"/>
    <n v="23"/>
    <n v="50"/>
    <n v="2"/>
    <n v="5280"/>
    <s v="M"/>
    <m/>
    <n v="1"/>
    <m/>
    <n v="330000"/>
    <n v="300000"/>
    <n v="90.909090909090907"/>
  </r>
  <r>
    <x v="0"/>
    <s v="01161"/>
    <s v="สอ.ต.บ้านเกาะ"/>
    <n v="2854"/>
    <n v="1346"/>
    <n v="679"/>
    <n v="59"/>
    <n v="95"/>
    <n v="1"/>
    <n v="5034"/>
    <s v="M"/>
    <m/>
    <n v="1"/>
    <m/>
    <n v="330000"/>
    <n v="300000"/>
    <n v="90.909090909090907"/>
  </r>
  <r>
    <x v="0"/>
    <s v="01162"/>
    <s v="สอ.ต.คลองสวนพลู"/>
    <n v="3730"/>
    <n v="1560"/>
    <n v="926"/>
    <n v="105"/>
    <n v="91"/>
    <n v="7"/>
    <n v="6419"/>
    <s v="M"/>
    <m/>
    <n v="1"/>
    <m/>
    <n v="330000"/>
    <n v="300000"/>
    <n v="90.909090909090907"/>
  </r>
  <r>
    <x v="0"/>
    <s v="01163"/>
    <s v="สอ.ต.คลองสระบัว"/>
    <n v="2633"/>
    <n v="971"/>
    <n v="392"/>
    <n v="63"/>
    <n v="56"/>
    <n v="2"/>
    <n v="4117"/>
    <s v="M"/>
    <m/>
    <n v="1"/>
    <m/>
    <n v="330000"/>
    <n v="500000"/>
    <n v="151.5151515151515"/>
  </r>
  <r>
    <x v="0"/>
    <s v="01164"/>
    <s v="สอ.ต.เกาะเรียน"/>
    <n v="1424"/>
    <n v="809"/>
    <n v="225"/>
    <n v="22"/>
    <n v="33"/>
    <n v="1"/>
    <n v="2514"/>
    <s v="S"/>
    <n v="1"/>
    <m/>
    <m/>
    <n v="300000"/>
    <n v="10000"/>
    <n v="3.3333333333333335"/>
  </r>
  <r>
    <x v="0"/>
    <s v="01165"/>
    <s v="สอ.ต.บ้านป้อม"/>
    <n v="4058"/>
    <n v="1728"/>
    <n v="774"/>
    <n v="78"/>
    <n v="92"/>
    <n v="2"/>
    <n v="6732"/>
    <s v="M"/>
    <m/>
    <n v="1"/>
    <m/>
    <n v="330000"/>
    <n v="300000"/>
    <n v="90.909090909090907"/>
  </r>
  <r>
    <x v="0"/>
    <s v="01166"/>
    <s v="สอ.ต.บ้านรุน"/>
    <n v="839"/>
    <n v="415"/>
    <n v="100"/>
    <n v="10"/>
    <n v="17"/>
    <n v="1"/>
    <n v="1382"/>
    <s v="S"/>
    <n v="1"/>
    <m/>
    <m/>
    <n v="300000"/>
    <n v="300000"/>
    <n v="100"/>
  </r>
  <r>
    <x v="1"/>
    <s v="01304"/>
    <s v="สอ.ต.บ้านแพน"/>
    <n v="1885"/>
    <n v="828"/>
    <n v="225"/>
    <n v="43"/>
    <n v="25"/>
    <n v="4"/>
    <n v="3010"/>
    <s v="M"/>
    <m/>
    <n v="1"/>
    <m/>
    <n v="330000"/>
    <n v="277786"/>
    <n v="84.177575757575752"/>
  </r>
  <r>
    <x v="1"/>
    <s v="01305"/>
    <s v="สอ.ต.เจ้าเจ็ด"/>
    <n v="2624"/>
    <n v="1018"/>
    <n v="471"/>
    <n v="114"/>
    <n v="67"/>
    <n v="3"/>
    <n v="4297"/>
    <s v="M"/>
    <n v="1"/>
    <m/>
    <m/>
    <n v="330000"/>
    <n v="263532"/>
    <n v="79.858181818181819"/>
  </r>
  <r>
    <x v="1"/>
    <s v="01306"/>
    <s v="สอ.ต.สามกอ"/>
    <n v="4297"/>
    <n v="1506"/>
    <n v="458"/>
    <n v="99"/>
    <n v="52"/>
    <n v="4"/>
    <n v="6416"/>
    <s v="M"/>
    <m/>
    <n v="1"/>
    <m/>
    <n v="330000"/>
    <n v="367132"/>
    <n v="111.25212121212121"/>
  </r>
  <r>
    <x v="1"/>
    <s v="01308"/>
    <s v="สอ.ต.หัวเวียง"/>
    <n v="2097"/>
    <n v="1145"/>
    <n v="319"/>
    <n v="82"/>
    <n v="55"/>
    <n v="2"/>
    <n v="3700"/>
    <s v="M"/>
    <m/>
    <n v="1"/>
    <m/>
    <n v="330000"/>
    <n v="433048"/>
    <n v="131.22666666666666"/>
  </r>
  <r>
    <x v="1"/>
    <s v="01309"/>
    <s v="สอ.ต.มารวิชัย"/>
    <n v="1970"/>
    <n v="547"/>
    <n v="117"/>
    <n v="16"/>
    <n v="16"/>
    <n v="1"/>
    <n v="2667"/>
    <s v="S"/>
    <n v="1"/>
    <m/>
    <m/>
    <n v="300000"/>
    <n v="236940"/>
    <n v="78.98"/>
  </r>
  <r>
    <x v="1"/>
    <s v="01310"/>
    <s v="สอ.ต.บ้านโพธิ์"/>
    <n v="2248"/>
    <n v="881"/>
    <n v="263"/>
    <n v="45"/>
    <n v="42"/>
    <n v="1"/>
    <n v="3480"/>
    <s v="M"/>
    <m/>
    <n v="1"/>
    <m/>
    <n v="330000"/>
    <n v="392706"/>
    <n v="119.00181818181818"/>
  </r>
  <r>
    <x v="1"/>
    <s v="01311"/>
    <s v="สอ.ต.รางจรเข้"/>
    <n v="1642"/>
    <n v="745"/>
    <n v="163"/>
    <n v="23"/>
    <n v="30"/>
    <n v="0"/>
    <n v="2603"/>
    <s v="S"/>
    <n v="1"/>
    <m/>
    <m/>
    <n v="300000"/>
    <n v="459324"/>
    <n v="153.108"/>
  </r>
  <r>
    <x v="1"/>
    <s v="01312"/>
    <s v="สอ.ต.บ้านกระทุ่ม"/>
    <n v="1163"/>
    <n v="567"/>
    <n v="174"/>
    <n v="16"/>
    <n v="30"/>
    <n v="0"/>
    <n v="1950"/>
    <s v="S"/>
    <n v="1"/>
    <m/>
    <m/>
    <n v="300000"/>
    <n v="237180"/>
    <n v="79.06"/>
  </r>
  <r>
    <x v="1"/>
    <s v="01313"/>
    <s v="สอ.ต.บ้านแถว"/>
    <n v="2770"/>
    <n v="1002"/>
    <n v="198"/>
    <n v="46"/>
    <n v="30"/>
    <n v="1"/>
    <n v="4047"/>
    <s v="M"/>
    <m/>
    <n v="1"/>
    <m/>
    <n v="330000"/>
    <n v="371514"/>
    <n v="112.58"/>
  </r>
  <r>
    <x v="1"/>
    <s v="01314"/>
    <s v="สอ.ต.ชายนา"/>
    <n v="3297"/>
    <n v="994"/>
    <n v="233"/>
    <n v="30"/>
    <n v="48"/>
    <n v="2"/>
    <n v="4604"/>
    <s v="M"/>
    <m/>
    <n v="1"/>
    <m/>
    <n v="330000"/>
    <n v="196180"/>
    <n v="59.448484848484846"/>
  </r>
  <r>
    <x v="1"/>
    <s v="01315"/>
    <s v="สอ.ต.สามตุ่ม"/>
    <n v="3326"/>
    <n v="1187"/>
    <n v="208"/>
    <n v="39"/>
    <n v="28"/>
    <n v="1"/>
    <n v="4789"/>
    <s v="M"/>
    <m/>
    <n v="1"/>
    <m/>
    <n v="330000"/>
    <n v="415706"/>
    <n v="125.97151515151515"/>
  </r>
  <r>
    <x v="1"/>
    <s v="01316"/>
    <s v="สอ.ต.ลาดงา"/>
    <n v="2068"/>
    <n v="963"/>
    <n v="157"/>
    <n v="19"/>
    <n v="18"/>
    <n v="4"/>
    <n v="3229"/>
    <s v="M"/>
    <m/>
    <n v="1"/>
    <m/>
    <n v="330000"/>
    <n v="365394"/>
    <n v="110.72545454545454"/>
  </r>
  <r>
    <x v="1"/>
    <s v="01317"/>
    <s v="สอ.ต.ดอนทอง"/>
    <n v="1764"/>
    <n v="623"/>
    <n v="109"/>
    <n v="34"/>
    <n v="13"/>
    <n v="0"/>
    <n v="2543"/>
    <s v="S"/>
    <n v="1"/>
    <m/>
    <m/>
    <n v="300000"/>
    <n v="341154"/>
    <n v="113.718"/>
  </r>
  <r>
    <x v="1"/>
    <s v="01318"/>
    <s v="สอ.ต.บ้านหลวง"/>
    <n v="1756"/>
    <n v="745"/>
    <n v="111"/>
    <n v="23"/>
    <n v="17"/>
    <n v="2"/>
    <n v="2654"/>
    <s v="S"/>
    <n v="1"/>
    <m/>
    <m/>
    <n v="300000"/>
    <n v="246444"/>
    <n v="82.147999999999996"/>
  </r>
  <r>
    <x v="1"/>
    <s v="01319"/>
    <s v="สอ.ต.เจ้าเสด็จ"/>
    <n v="1634"/>
    <n v="759"/>
    <n v="175"/>
    <n v="73"/>
    <n v="52"/>
    <n v="0"/>
    <n v="2693"/>
    <s v="S"/>
    <n v="1"/>
    <m/>
    <m/>
    <n v="300000"/>
    <n v="165960"/>
    <n v="55.32"/>
  </r>
  <r>
    <x v="2"/>
    <s v="01167"/>
    <s v="สอ.ต.จำปา"/>
    <n v="1703"/>
    <n v="814"/>
    <n v="147"/>
    <n v="19"/>
    <n v="28"/>
    <n v="2"/>
    <n v="2713"/>
    <s v="S"/>
    <m/>
    <n v="1"/>
    <m/>
    <n v="300000"/>
    <n v="280000"/>
    <n v="93.333333333333329"/>
  </r>
  <r>
    <x v="2"/>
    <s v="01168"/>
    <s v="สอ.ต.ท่าหลวง"/>
    <n v="1933"/>
    <n v="969"/>
    <n v="231"/>
    <n v="29"/>
    <n v="45"/>
    <n v="1"/>
    <n v="3208"/>
    <s v="M"/>
    <m/>
    <n v="1"/>
    <m/>
    <n v="330000"/>
    <n v="260000"/>
    <n v="78.787878787878782"/>
  </r>
  <r>
    <x v="2"/>
    <s v="01169"/>
    <s v="สอ.บ้านดอนประดู่"/>
    <n v="871"/>
    <n v="393"/>
    <n v="97"/>
    <n v="18"/>
    <n v="14"/>
    <n v="2"/>
    <n v="1395"/>
    <s v="S"/>
    <n v="1"/>
    <m/>
    <m/>
    <n v="300000"/>
    <n v="280000"/>
    <n v="93.333333333333329"/>
  </r>
  <r>
    <x v="2"/>
    <s v="01170"/>
    <s v="สอ.ต.บ้านร่อม"/>
    <n v="1027"/>
    <n v="440"/>
    <n v="73"/>
    <n v="10"/>
    <n v="15"/>
    <n v="0"/>
    <n v="1565"/>
    <s v="S"/>
    <n v="1"/>
    <m/>
    <m/>
    <n v="300000"/>
    <n v="270000"/>
    <n v="90"/>
  </r>
  <r>
    <x v="2"/>
    <s v="01171"/>
    <s v="สอ.ต.ศาลาลอย"/>
    <n v="1332"/>
    <n v="687"/>
    <n v="120"/>
    <n v="16"/>
    <n v="23"/>
    <n v="2"/>
    <n v="2180"/>
    <s v="S"/>
    <n v="1"/>
    <m/>
    <m/>
    <n v="300000"/>
    <n v="270000"/>
    <n v="90"/>
  </r>
  <r>
    <x v="2"/>
    <s v="01172"/>
    <s v="สอ.บ้านศาลาลอย"/>
    <n v="1398"/>
    <n v="750"/>
    <n v="117"/>
    <n v="30"/>
    <n v="21"/>
    <n v="2"/>
    <n v="2318"/>
    <s v="S"/>
    <n v="1"/>
    <m/>
    <m/>
    <n v="300000"/>
    <n v="260000"/>
    <n v="86.666666666666671"/>
  </r>
  <r>
    <x v="2"/>
    <s v="01173"/>
    <s v="สอ.ต.วังแดง"/>
    <n v="1891"/>
    <n v="870"/>
    <n v="224"/>
    <n v="17"/>
    <n v="49"/>
    <n v="0"/>
    <n v="3051"/>
    <s v="M"/>
    <m/>
    <n v="1"/>
    <m/>
    <n v="330000"/>
    <n v="301000"/>
    <n v="91.212121212121218"/>
  </r>
  <r>
    <x v="2"/>
    <s v="01174"/>
    <s v="สอ.ต.โพธิ์เอน"/>
    <n v="852"/>
    <n v="501"/>
    <n v="84"/>
    <n v="24"/>
    <n v="17"/>
    <n v="1"/>
    <n v="1479"/>
    <s v="S"/>
    <n v="1"/>
    <m/>
    <m/>
    <n v="300000"/>
    <n v="270000"/>
    <n v="90"/>
  </r>
  <r>
    <x v="2"/>
    <s v="01175"/>
    <s v="สอ.ต.โพธิ์เอน 4"/>
    <n v="1022"/>
    <n v="486"/>
    <n v="72"/>
    <n v="17"/>
    <n v="12"/>
    <n v="2"/>
    <n v="1611"/>
    <s v="S"/>
    <n v="1"/>
    <m/>
    <m/>
    <n v="300000"/>
    <n v="280000"/>
    <n v="93.333333333333329"/>
  </r>
  <r>
    <x v="2"/>
    <s v="01176"/>
    <s v="สอ.ต.ปากท่า"/>
    <n v="1603"/>
    <n v="882"/>
    <n v="207"/>
    <n v="28"/>
    <n v="28"/>
    <n v="0"/>
    <n v="2748"/>
    <s v="S"/>
    <n v="1"/>
    <m/>
    <m/>
    <n v="300000"/>
    <n v="301000"/>
    <n v="100.33333333333333"/>
  </r>
  <r>
    <x v="2"/>
    <s v="01177"/>
    <s v="สอ.ต.หนองขนาก"/>
    <n v="2420"/>
    <n v="1356"/>
    <n v="349"/>
    <n v="37"/>
    <n v="56"/>
    <n v="2"/>
    <n v="4220"/>
    <s v="M"/>
    <m/>
    <n v="1"/>
    <m/>
    <n v="330000"/>
    <n v="260000"/>
    <n v="78.787878787878782"/>
  </r>
  <r>
    <x v="2"/>
    <s v="01178"/>
    <s v="สอ.ต.ท่าเจ้าสนุก"/>
    <n v="2169"/>
    <n v="1043"/>
    <n v="270"/>
    <n v="50"/>
    <n v="47"/>
    <n v="3"/>
    <n v="3582"/>
    <s v="M"/>
    <m/>
    <n v="1"/>
    <m/>
    <n v="330000"/>
    <n v="260000"/>
    <n v="78.787878787878782"/>
  </r>
  <r>
    <x v="3"/>
    <s v="01179"/>
    <s v="สอ.เฉลิมพระเกียรติ 60 พรรษา นวมินทราชินี"/>
    <n v="2622"/>
    <n v="0"/>
    <n v="1"/>
    <n v="0"/>
    <n v="0"/>
    <n v="0"/>
    <n v="2623"/>
    <s v="S"/>
    <n v="1"/>
    <m/>
    <m/>
    <n v="300000"/>
    <n v="350000"/>
    <n v="116.66666666666667"/>
  </r>
  <r>
    <x v="3"/>
    <s v="01180"/>
    <s v="สอ.ต.ท่าช้าง"/>
    <n v="2844"/>
    <n v="1117"/>
    <n v="299"/>
    <n v="69"/>
    <n v="54"/>
    <n v="2"/>
    <n v="4385"/>
    <s v="M"/>
    <m/>
    <n v="1"/>
    <m/>
    <n v="330000"/>
    <n v="430000"/>
    <n v="130.30303030303031"/>
  </r>
  <r>
    <x v="3"/>
    <s v="01181"/>
    <s v="สอ.ต.บ่อโพง"/>
    <n v="3810"/>
    <n v="1298"/>
    <n v="460"/>
    <n v="28"/>
    <n v="56"/>
    <n v="2"/>
    <n v="5654"/>
    <s v="M"/>
    <m/>
    <n v="1"/>
    <m/>
    <n v="330000"/>
    <n v="200000"/>
    <n v="60.606060606060609"/>
  </r>
  <r>
    <x v="3"/>
    <s v="01182"/>
    <s v="สอ.ต.บ้านชุ้ง"/>
    <n v="2225"/>
    <n v="1033"/>
    <n v="248"/>
    <n v="17"/>
    <n v="32"/>
    <n v="2"/>
    <n v="3557"/>
    <s v="M"/>
    <m/>
    <n v="1"/>
    <m/>
    <n v="330000"/>
    <n v="360000"/>
    <n v="109.09090909090909"/>
  </r>
  <r>
    <x v="3"/>
    <s v="01183"/>
    <s v="สอ.ต.ปากจั่น"/>
    <n v="2213"/>
    <n v="1004"/>
    <n v="165"/>
    <n v="36"/>
    <n v="30"/>
    <n v="1"/>
    <n v="3449"/>
    <s v="M"/>
    <m/>
    <n v="1"/>
    <m/>
    <n v="330000"/>
    <n v="330000"/>
    <n v="100"/>
  </r>
  <r>
    <x v="3"/>
    <s v="01184"/>
    <s v="สอ.ต.บางระกำ"/>
    <n v="1738"/>
    <n v="836"/>
    <n v="226"/>
    <n v="38"/>
    <n v="38"/>
    <n v="1"/>
    <n v="2877"/>
    <s v="S"/>
    <n v="1"/>
    <m/>
    <m/>
    <n v="300000"/>
    <n v="150000"/>
    <n v="50"/>
  </r>
  <r>
    <x v="3"/>
    <s v="01185"/>
    <s v="สอ.ต.บางพระครู"/>
    <n v="1322"/>
    <n v="658"/>
    <n v="125"/>
    <n v="18"/>
    <n v="23"/>
    <n v="1"/>
    <n v="2147"/>
    <s v="S"/>
    <n v="1"/>
    <m/>
    <m/>
    <n v="300000"/>
    <n v="420000"/>
    <n v="140"/>
  </r>
  <r>
    <x v="3"/>
    <s v="01186"/>
    <s v="สอ.ต.แม่ลา"/>
    <n v="1071"/>
    <n v="517"/>
    <n v="197"/>
    <n v="17"/>
    <n v="16"/>
    <n v="0"/>
    <n v="1818"/>
    <s v="S"/>
    <n v="1"/>
    <m/>
    <m/>
    <n v="300000"/>
    <n v="400000"/>
    <n v="133.33333333333334"/>
  </r>
  <r>
    <x v="3"/>
    <s v="01187"/>
    <s v="สอ.ต.หนองปลิง"/>
    <n v="1314"/>
    <n v="616"/>
    <n v="120"/>
    <n v="9"/>
    <n v="12"/>
    <n v="0"/>
    <n v="2071"/>
    <s v="S"/>
    <n v="1"/>
    <m/>
    <m/>
    <n v="300000"/>
    <n v="380000"/>
    <n v="126.66666666666667"/>
  </r>
  <r>
    <x v="3"/>
    <s v="01188"/>
    <s v="สอ.ต.คลองสะแก"/>
    <n v="1345"/>
    <n v="769"/>
    <n v="144"/>
    <n v="13"/>
    <n v="24"/>
    <n v="0"/>
    <n v="2295"/>
    <s v="S"/>
    <n v="1"/>
    <m/>
    <m/>
    <n v="300000"/>
    <n v="200000"/>
    <n v="66.666666666666671"/>
  </r>
  <r>
    <x v="3"/>
    <s v="01189"/>
    <s v="สอ.ต.สามไถ"/>
    <n v="777"/>
    <n v="358"/>
    <n v="75"/>
    <n v="20"/>
    <n v="18"/>
    <n v="2"/>
    <n v="1250"/>
    <s v="S"/>
    <n v="1"/>
    <m/>
    <m/>
    <n v="300000"/>
    <n v="200000"/>
    <n v="66.666666666666671"/>
  </r>
  <r>
    <x v="3"/>
    <s v="01190"/>
    <s v="สอ.ต.พระนอน"/>
    <n v="1181"/>
    <n v="581"/>
    <n v="171"/>
    <n v="10"/>
    <n v="22"/>
    <n v="0"/>
    <n v="1965"/>
    <s v="S"/>
    <n v="1"/>
    <m/>
    <m/>
    <n v="300000"/>
    <n v="300000"/>
    <n v="100"/>
  </r>
  <r>
    <x v="4"/>
    <s v="01191"/>
    <s v="สอ.ต.บางพลี"/>
    <n v="1799"/>
    <n v="609"/>
    <n v="88"/>
    <n v="8"/>
    <n v="21"/>
    <n v="1"/>
    <n v="2526"/>
    <s v="S"/>
    <n v="1"/>
    <m/>
    <m/>
    <n v="300000"/>
    <n v="188319.2"/>
    <n v="62.773066666666665"/>
  </r>
  <r>
    <x v="4"/>
    <s v="01192"/>
    <s v="สอ.ต.สนามไชย"/>
    <n v="1517"/>
    <n v="854"/>
    <n v="140"/>
    <n v="22"/>
    <n v="25"/>
    <n v="1"/>
    <n v="2559"/>
    <s v="S"/>
    <n v="1"/>
    <m/>
    <m/>
    <n v="300000"/>
    <n v="50000"/>
    <n v="16.666666666666668"/>
  </r>
  <r>
    <x v="4"/>
    <s v="01193"/>
    <s v="สอ.ต.บ้านแป้ง"/>
    <n v="436"/>
    <n v="236"/>
    <n v="79"/>
    <n v="16"/>
    <n v="14"/>
    <n v="0"/>
    <n v="781"/>
    <s v="S"/>
    <n v="1"/>
    <m/>
    <m/>
    <n v="300000"/>
    <n v="98900"/>
    <n v="32.966666666666669"/>
  </r>
  <r>
    <x v="4"/>
    <s v="01194"/>
    <s v="สอ.ต.หน้าไม้"/>
    <n v="539"/>
    <n v="217"/>
    <n v="80"/>
    <n v="12"/>
    <n v="12"/>
    <n v="0"/>
    <n v="860"/>
    <s v="S"/>
    <n v="1"/>
    <m/>
    <m/>
    <n v="300000"/>
    <n v="50000"/>
    <n v="16.666666666666668"/>
  </r>
  <r>
    <x v="4"/>
    <s v="01195"/>
    <s v="สอ.ต.บางยี่โท"/>
    <n v="812"/>
    <n v="448"/>
    <n v="127"/>
    <n v="19"/>
    <n v="30"/>
    <n v="0"/>
    <n v="1436"/>
    <s v="S"/>
    <n v="1"/>
    <m/>
    <m/>
    <n v="300000"/>
    <n v="256249"/>
    <n v="85.416333333333327"/>
  </r>
  <r>
    <x v="4"/>
    <s v="01196"/>
    <s v="สอ.ต.แคออก"/>
    <n v="481"/>
    <n v="292"/>
    <n v="63"/>
    <n v="15"/>
    <n v="11"/>
    <n v="1"/>
    <n v="863"/>
    <s v="S"/>
    <n v="1"/>
    <m/>
    <m/>
    <n v="300000"/>
    <n v="50000"/>
    <n v="16.666666666666668"/>
  </r>
  <r>
    <x v="4"/>
    <s v="01197"/>
    <s v="สอ.ต.แคตก"/>
    <n v="711"/>
    <n v="315"/>
    <n v="73"/>
    <n v="5"/>
    <n v="14"/>
    <n v="0"/>
    <n v="1118"/>
    <s v="S"/>
    <n v="1"/>
    <m/>
    <m/>
    <n v="300000"/>
    <n v="50000"/>
    <n v="16.666666666666668"/>
  </r>
  <r>
    <x v="4"/>
    <s v="01198"/>
    <s v="สอ.ต.ช่างเหล็ก"/>
    <n v="837"/>
    <n v="466"/>
    <n v="77"/>
    <n v="5"/>
    <n v="15"/>
    <n v="1"/>
    <n v="1401"/>
    <s v="S"/>
    <n v="1"/>
    <m/>
    <m/>
    <n v="300000"/>
    <n v="147800"/>
    <n v="49.266666666666666"/>
  </r>
  <r>
    <x v="4"/>
    <s v="01199"/>
    <s v="สอ.ต.กระแชง"/>
    <n v="996"/>
    <n v="415"/>
    <n v="111"/>
    <n v="22"/>
    <n v="19"/>
    <n v="1"/>
    <n v="1564"/>
    <s v="S"/>
    <n v="1"/>
    <m/>
    <m/>
    <n v="300000"/>
    <n v="223930.4"/>
    <n v="74.643466666666669"/>
  </r>
  <r>
    <x v="4"/>
    <s v="01200"/>
    <s v="สอ.ต.บ้านกลึง"/>
    <n v="1262"/>
    <n v="537"/>
    <n v="110"/>
    <n v="19"/>
    <n v="22"/>
    <n v="1"/>
    <n v="1951"/>
    <s v="S"/>
    <n v="1"/>
    <m/>
    <m/>
    <n v="300000"/>
    <n v="198893.6"/>
    <n v="66.297866666666664"/>
  </r>
  <r>
    <x v="4"/>
    <s v="01201"/>
    <s v="สอ.ต.ช้างน้อย"/>
    <n v="750"/>
    <n v="275"/>
    <n v="54"/>
    <n v="9"/>
    <n v="7"/>
    <n v="1"/>
    <n v="1096"/>
    <s v="S"/>
    <n v="1"/>
    <m/>
    <m/>
    <n v="300000"/>
    <n v="258164"/>
    <n v="86.054666666666662"/>
  </r>
  <r>
    <x v="4"/>
    <s v="01202"/>
    <s v="สอ.ต.ห่อหมก"/>
    <n v="1057"/>
    <n v="555"/>
    <n v="84"/>
    <n v="15"/>
    <n v="22"/>
    <n v="0"/>
    <n v="1733"/>
    <s v="S"/>
    <n v="1"/>
    <m/>
    <m/>
    <n v="300000"/>
    <n v="120752"/>
    <n v="40.250666666666667"/>
  </r>
  <r>
    <x v="4"/>
    <s v="01203"/>
    <s v="สอ.ต.ไผ่พระ"/>
    <n v="1397"/>
    <n v="569"/>
    <n v="62"/>
    <n v="0"/>
    <n v="10"/>
    <n v="1"/>
    <n v="2039"/>
    <s v="S"/>
    <n v="1"/>
    <m/>
    <m/>
    <n v="300000"/>
    <n v="227776.4"/>
    <n v="75.925466666666665"/>
  </r>
  <r>
    <x v="4"/>
    <s v="01204"/>
    <s v="สอ.ต.กกแก้วบูรพา"/>
    <n v="1485"/>
    <n v="465"/>
    <n v="66"/>
    <n v="2"/>
    <n v="13"/>
    <n v="0"/>
    <n v="2031"/>
    <s v="S"/>
    <n v="1"/>
    <m/>
    <m/>
    <n v="300000"/>
    <n v="372824"/>
    <n v="124.27466666666666"/>
  </r>
  <r>
    <x v="4"/>
    <s v="01205"/>
    <s v="สอ.ต.ไม้ตรา"/>
    <n v="2840"/>
    <n v="1211"/>
    <n v="335"/>
    <n v="23"/>
    <n v="75"/>
    <n v="3"/>
    <n v="4487"/>
    <s v="M"/>
    <m/>
    <n v="1"/>
    <m/>
    <n v="330000"/>
    <n v="50000"/>
    <n v="15.151515151515152"/>
  </r>
  <r>
    <x v="4"/>
    <s v="01206"/>
    <s v="สอ.ต.บ้านม้า"/>
    <n v="1827"/>
    <n v="850"/>
    <n v="336"/>
    <n v="19"/>
    <n v="55"/>
    <n v="2"/>
    <n v="3089"/>
    <s v="M"/>
    <m/>
    <n v="1"/>
    <m/>
    <n v="330000"/>
    <n v="226642.4"/>
    <n v="68.679515151515147"/>
  </r>
  <r>
    <x v="4"/>
    <s v="01207"/>
    <s v="สอ.ต.บ้านเกาะ"/>
    <n v="877"/>
    <n v="384"/>
    <n v="91"/>
    <n v="8"/>
    <n v="10"/>
    <n v="1"/>
    <n v="1371"/>
    <s v="S"/>
    <n v="1"/>
    <m/>
    <m/>
    <n v="300000"/>
    <n v="50000"/>
    <n v="16.666666666666668"/>
  </r>
  <r>
    <x v="4"/>
    <s v="01208"/>
    <s v="สอ.ต.ราชคราม"/>
    <n v="1224"/>
    <n v="782"/>
    <n v="62"/>
    <n v="26"/>
    <n v="19"/>
    <n v="0"/>
    <n v="2113"/>
    <s v="S"/>
    <n v="1"/>
    <m/>
    <m/>
    <n v="300000"/>
    <n v="206579.6"/>
    <n v="68.859866666666662"/>
  </r>
  <r>
    <x v="4"/>
    <s v="01209"/>
    <s v="สอ.ต.ช้างใหญ่"/>
    <n v="1403"/>
    <n v="248"/>
    <n v="30"/>
    <n v="17"/>
    <n v="10"/>
    <n v="0"/>
    <n v="1708"/>
    <s v="S"/>
    <n v="1"/>
    <m/>
    <m/>
    <n v="300000"/>
    <n v="50000"/>
    <n v="16.666666666666668"/>
  </r>
  <r>
    <x v="4"/>
    <s v="01210"/>
    <s v="สอ.คัคณางค์"/>
    <n v="1539"/>
    <n v="1227"/>
    <n v="260"/>
    <n v="63"/>
    <n v="54"/>
    <n v="0"/>
    <n v="3143"/>
    <s v="M"/>
    <m/>
    <n v="1"/>
    <m/>
    <n v="330000"/>
    <n v="50000"/>
    <n v="15.151515151515152"/>
  </r>
  <r>
    <x v="4"/>
    <s v="01211"/>
    <s v="สอ.ต.โพธิ์แตง"/>
    <n v="731"/>
    <n v="485"/>
    <n v="128"/>
    <n v="9"/>
    <n v="19"/>
    <n v="0"/>
    <n v="1372"/>
    <s v="S"/>
    <n v="1"/>
    <m/>
    <m/>
    <n v="300000"/>
    <n v="258164"/>
    <n v="86.054666666666662"/>
  </r>
  <r>
    <x v="4"/>
    <s v="01212"/>
    <s v="สอ.ต.เชียงรากน้อย"/>
    <n v="856"/>
    <n v="522"/>
    <n v="90"/>
    <n v="11"/>
    <n v="25"/>
    <n v="0"/>
    <n v="1504"/>
    <s v="S"/>
    <n v="1"/>
    <m/>
    <m/>
    <n v="300000"/>
    <n v="50000"/>
    <n v="16.666666666666668"/>
  </r>
  <r>
    <x v="4"/>
    <s v="01213"/>
    <s v="สอ.ต.โคกช้าง"/>
    <n v="1516"/>
    <n v="623"/>
    <n v="215"/>
    <n v="21"/>
    <n v="16"/>
    <n v="2"/>
    <n v="2393"/>
    <s v="S"/>
    <n v="1"/>
    <m/>
    <m/>
    <n v="300000"/>
    <n v="50000"/>
    <n v="16.666666666666668"/>
  </r>
  <r>
    <x v="5"/>
    <s v="01214"/>
    <s v="สอ.ต.บางบาล"/>
    <n v="528"/>
    <n v="298"/>
    <n v="138"/>
    <n v="11"/>
    <n v="19"/>
    <n v="1"/>
    <n v="995"/>
    <s v="S"/>
    <n v="1"/>
    <m/>
    <m/>
    <n v="300000"/>
    <n v="145000"/>
    <n v="48.333333333333336"/>
  </r>
  <r>
    <x v="5"/>
    <s v="01215"/>
    <s v="สอ.ต.วัดยม"/>
    <n v="1058"/>
    <n v="390"/>
    <n v="183"/>
    <n v="6"/>
    <n v="21"/>
    <n v="1"/>
    <n v="1659"/>
    <s v="S"/>
    <n v="1"/>
    <m/>
    <m/>
    <n v="300000"/>
    <n v="252000"/>
    <n v="84"/>
  </r>
  <r>
    <x v="5"/>
    <s v="01216"/>
    <s v="สอ.ต.ไทรน้อย"/>
    <n v="1569"/>
    <n v="558"/>
    <n v="368"/>
    <n v="27"/>
    <n v="45"/>
    <n v="0"/>
    <n v="2567"/>
    <s v="S"/>
    <n v="1"/>
    <m/>
    <m/>
    <n v="300000"/>
    <n v="187000"/>
    <n v="62.333333333333336"/>
  </r>
  <r>
    <x v="5"/>
    <s v="01217"/>
    <s v="สอ.ต.มหาพราหมณ์"/>
    <n v="3155"/>
    <n v="1089"/>
    <n v="447"/>
    <n v="61"/>
    <n v="57"/>
    <n v="1"/>
    <n v="4810"/>
    <s v="M"/>
    <m/>
    <n v="1"/>
    <m/>
    <n v="330000"/>
    <n v="230000"/>
    <n v="69.696969696969703"/>
  </r>
  <r>
    <x v="5"/>
    <s v="01218"/>
    <s v="สอ.ต.กบเจา"/>
    <n v="1414"/>
    <n v="573"/>
    <n v="304"/>
    <n v="16"/>
    <n v="33"/>
    <n v="0"/>
    <n v="2340"/>
    <s v="S"/>
    <n v="1"/>
    <m/>
    <m/>
    <n v="300000"/>
    <n v="199000"/>
    <n v="66.333333333333329"/>
  </r>
  <r>
    <x v="5"/>
    <s v="01219"/>
    <s v="สอ.ต.บ้านคลัง"/>
    <n v="1179"/>
    <n v="607"/>
    <n v="142"/>
    <n v="18"/>
    <n v="15"/>
    <n v="3"/>
    <n v="1964"/>
    <s v="S"/>
    <n v="1"/>
    <m/>
    <m/>
    <n v="300000"/>
    <n v="230000"/>
    <n v="76.666666666666671"/>
  </r>
  <r>
    <x v="5"/>
    <s v="01220"/>
    <s v="สอ.ต.พระขาว"/>
    <n v="2518"/>
    <n v="989"/>
    <n v="332"/>
    <n v="42"/>
    <n v="53"/>
    <n v="4"/>
    <n v="3938"/>
    <s v="M"/>
    <m/>
    <n v="1"/>
    <m/>
    <n v="330000"/>
    <n v="218000"/>
    <n v="66.060606060606062"/>
  </r>
  <r>
    <x v="5"/>
    <s v="01221"/>
    <s v="สอ.ต.น้ำเต้า"/>
    <n v="1357"/>
    <n v="637"/>
    <n v="153"/>
    <n v="21"/>
    <n v="35"/>
    <n v="0"/>
    <n v="2203"/>
    <s v="S"/>
    <n v="1"/>
    <m/>
    <m/>
    <n v="300000"/>
    <n v="176000"/>
    <n v="58.666666666666664"/>
  </r>
  <r>
    <x v="5"/>
    <s v="01222"/>
    <s v="สอ.ต.ทางช้าง"/>
    <n v="585"/>
    <n v="277"/>
    <n v="101"/>
    <n v="12"/>
    <n v="12"/>
    <n v="0"/>
    <n v="987"/>
    <s v="S"/>
    <n v="1"/>
    <m/>
    <m/>
    <n v="300000"/>
    <n v="139000"/>
    <n v="46.333333333333336"/>
  </r>
  <r>
    <x v="5"/>
    <s v="01223"/>
    <s v="สอ.ต.วัดตะกู"/>
    <n v="821"/>
    <n v="415"/>
    <n v="164"/>
    <n v="4"/>
    <n v="16"/>
    <n v="0"/>
    <n v="1420"/>
    <s v="S"/>
    <n v="1"/>
    <m/>
    <m/>
    <n v="300000"/>
    <n v="200000"/>
    <n v="66.666666666666671"/>
  </r>
  <r>
    <x v="5"/>
    <s v="01224"/>
    <s v="สอ.ต.บางหลวง"/>
    <n v="468"/>
    <n v="237"/>
    <n v="119"/>
    <n v="7"/>
    <n v="21"/>
    <n v="0"/>
    <n v="852"/>
    <s v="S"/>
    <n v="1"/>
    <m/>
    <m/>
    <n v="300000"/>
    <n v="206000"/>
    <n v="68.666666666666671"/>
  </r>
  <r>
    <x v="5"/>
    <s v="01225"/>
    <s v="สอ.ต.บางหลวงโดด"/>
    <n v="371"/>
    <n v="194"/>
    <n v="70"/>
    <n v="12"/>
    <n v="5"/>
    <n v="0"/>
    <n v="652"/>
    <s v="S"/>
    <n v="1"/>
    <m/>
    <m/>
    <n v="300000"/>
    <n v="206000"/>
    <n v="68.666666666666671"/>
  </r>
  <r>
    <x v="5"/>
    <s v="01226"/>
    <s v="สอ.ต.บางหัก"/>
    <n v="696"/>
    <n v="387"/>
    <n v="121"/>
    <n v="13"/>
    <n v="25"/>
    <n v="0"/>
    <n v="1242"/>
    <s v="S"/>
    <n v="1"/>
    <m/>
    <m/>
    <n v="300000"/>
    <n v="206000"/>
    <n v="68.666666666666671"/>
  </r>
  <r>
    <x v="5"/>
    <s v="01227"/>
    <s v="สอ.ต.บางชะนี"/>
    <n v="1021"/>
    <n v="489"/>
    <n v="196"/>
    <n v="16"/>
    <n v="25"/>
    <n v="0"/>
    <n v="1747"/>
    <s v="S"/>
    <n v="1"/>
    <m/>
    <m/>
    <n v="300000"/>
    <n v="200000"/>
    <n v="66.666666666666671"/>
  </r>
  <r>
    <x v="5"/>
    <s v="01228"/>
    <s v="สอ.ต.บ้านกุ่ม"/>
    <n v="2092"/>
    <n v="934"/>
    <n v="443"/>
    <n v="18"/>
    <n v="49"/>
    <n v="1"/>
    <n v="3537"/>
    <s v="M"/>
    <m/>
    <n v="1"/>
    <m/>
    <n v="330000"/>
    <n v="286000"/>
    <n v="86.666666666666671"/>
  </r>
  <r>
    <x v="6"/>
    <s v="01229"/>
    <s v="สอ.คลองเปรม"/>
    <n v="2026"/>
    <n v="0"/>
    <n v="0"/>
    <n v="0"/>
    <n v="3"/>
    <n v="0"/>
    <n v="2029"/>
    <s v="S"/>
    <n v="1"/>
    <m/>
    <m/>
    <n v="300000"/>
    <n v="500000"/>
    <n v="166.66666666666666"/>
  </r>
  <r>
    <x v="6"/>
    <s v="01230"/>
    <s v="สอ.ต.เชียงรากน้อย"/>
    <n v="9921"/>
    <n v="4730"/>
    <n v="869"/>
    <n v="148"/>
    <n v="214"/>
    <n v="11"/>
    <n v="15893"/>
    <s v="L"/>
    <m/>
    <m/>
    <n v="1"/>
    <n v="360000"/>
    <n v="1120000"/>
    <n v="311.11111111111109"/>
  </r>
  <r>
    <x v="6"/>
    <s v="01231"/>
    <s v="สอ.ต.บ้านโพ"/>
    <n v="1580"/>
    <n v="943"/>
    <n v="268"/>
    <n v="22"/>
    <n v="53"/>
    <n v="0"/>
    <n v="2866"/>
    <s v="S"/>
    <n v="1"/>
    <m/>
    <m/>
    <n v="300000"/>
    <n v="350000"/>
    <n v="116.66666666666667"/>
  </r>
  <r>
    <x v="6"/>
    <s v="01232"/>
    <s v="สอ.ต.บ้านกรด"/>
    <n v="2717"/>
    <n v="62"/>
    <n v="7"/>
    <n v="4"/>
    <n v="2"/>
    <n v="0"/>
    <n v="2792"/>
    <s v="S"/>
    <n v="1"/>
    <m/>
    <m/>
    <n v="300000"/>
    <n v="100000"/>
    <n v="33.333333333333336"/>
  </r>
  <r>
    <x v="6"/>
    <s v="01233"/>
    <s v="สอ.ขนอนเหนือ"/>
    <n v="1148"/>
    <n v="1850"/>
    <n v="472"/>
    <n v="60"/>
    <n v="70"/>
    <n v="4"/>
    <n v="3604"/>
    <s v="M"/>
    <m/>
    <n v="1"/>
    <m/>
    <n v="330000"/>
    <n v="450000"/>
    <n v="136.36363636363637"/>
  </r>
  <r>
    <x v="6"/>
    <s v="01234"/>
    <s v="สอ.ต.บางกระสั้น"/>
    <n v="6991"/>
    <n v="3334"/>
    <n v="583"/>
    <n v="82"/>
    <n v="118"/>
    <n v="6"/>
    <n v="11114"/>
    <s v="L"/>
    <m/>
    <m/>
    <n v="1"/>
    <n v="360000"/>
    <n v="200000"/>
    <n v="55.555555555555557"/>
  </r>
  <r>
    <x v="6"/>
    <s v="01235"/>
    <s v="สอ.ต.คลองจิก"/>
    <n v="4091"/>
    <n v="2701"/>
    <n v="406"/>
    <n v="49"/>
    <n v="87"/>
    <n v="2"/>
    <n v="7336"/>
    <s v="M"/>
    <m/>
    <n v="1"/>
    <m/>
    <n v="330000"/>
    <n v="300000"/>
    <n v="90.909090909090907"/>
  </r>
  <r>
    <x v="6"/>
    <s v="01236"/>
    <s v="สอ.ต.บ้านหว้า"/>
    <n v="1293"/>
    <n v="803"/>
    <n v="196"/>
    <n v="13"/>
    <n v="33"/>
    <n v="3"/>
    <n v="2341"/>
    <s v="S"/>
    <n v="1"/>
    <m/>
    <m/>
    <n v="300000"/>
    <n v="600000"/>
    <n v="200"/>
  </r>
  <r>
    <x v="6"/>
    <s v="01237"/>
    <s v="สอ.ต.วัดยม"/>
    <n v="1649"/>
    <n v="808"/>
    <n v="220"/>
    <n v="14"/>
    <n v="31"/>
    <n v="1"/>
    <n v="2723"/>
    <s v="S"/>
    <n v="1"/>
    <m/>
    <m/>
    <n v="300000"/>
    <n v="80000"/>
    <n v="26.666666666666668"/>
  </r>
  <r>
    <x v="6"/>
    <s v="01238"/>
    <s v="สอ.ต.บางประแดง"/>
    <n v="1243"/>
    <n v="576"/>
    <n v="158"/>
    <n v="22"/>
    <n v="21"/>
    <n v="0"/>
    <n v="2020"/>
    <s v="S"/>
    <n v="1"/>
    <m/>
    <m/>
    <n v="300000"/>
    <n v="200000"/>
    <n v="66.666666666666671"/>
  </r>
  <r>
    <x v="6"/>
    <s v="01239"/>
    <s v="สอ.ต.สามเรือน"/>
    <n v="2184"/>
    <n v="121"/>
    <n v="14"/>
    <n v="8"/>
    <n v="5"/>
    <n v="0"/>
    <n v="2332"/>
    <s v="S"/>
    <n v="1"/>
    <m/>
    <m/>
    <n v="300000"/>
    <n v="80000"/>
    <n v="26.666666666666668"/>
  </r>
  <r>
    <x v="6"/>
    <s v="01240"/>
    <s v="สอ.ต.เกาะเกิด"/>
    <n v="1161"/>
    <n v="712"/>
    <n v="109"/>
    <n v="15"/>
    <n v="20"/>
    <n v="0"/>
    <n v="2017"/>
    <s v="S"/>
    <n v="1"/>
    <m/>
    <m/>
    <n v="300000"/>
    <n v="150000"/>
    <n v="50"/>
  </r>
  <r>
    <x v="6"/>
    <s v="01241"/>
    <s v="สอ.ต.บ้านพลับ"/>
    <n v="1501"/>
    <n v="596"/>
    <n v="45"/>
    <n v="20"/>
    <n v="12"/>
    <n v="0"/>
    <n v="2174"/>
    <s v="S"/>
    <n v="1"/>
    <m/>
    <m/>
    <n v="300000"/>
    <n v="300000"/>
    <n v="100"/>
  </r>
  <r>
    <x v="6"/>
    <s v="01242"/>
    <s v="สอ.ต.บ้านแป้ง 2"/>
    <n v="809"/>
    <n v="144"/>
    <n v="44"/>
    <n v="4"/>
    <n v="7"/>
    <n v="0"/>
    <n v="1008"/>
    <s v="S"/>
    <n v="1"/>
    <m/>
    <m/>
    <n v="300000"/>
    <n v="80000"/>
    <n v="26.666666666666668"/>
  </r>
  <r>
    <x v="6"/>
    <s v="01243"/>
    <s v="สอ.ต.บ้านแป้ง 1"/>
    <n v="420"/>
    <n v="508"/>
    <n v="100"/>
    <n v="9"/>
    <n v="19"/>
    <n v="1"/>
    <n v="1057"/>
    <s v="S"/>
    <n v="1"/>
    <m/>
    <m/>
    <n v="300000"/>
    <n v="20000"/>
    <n v="6.666666666666667"/>
  </r>
  <r>
    <x v="6"/>
    <s v="01244"/>
    <s v="สอ.ต.คุ้งลาน"/>
    <n v="1525"/>
    <n v="668"/>
    <n v="121"/>
    <n v="17"/>
    <n v="34"/>
    <n v="0"/>
    <n v="2365"/>
    <s v="S"/>
    <n v="1"/>
    <m/>
    <m/>
    <n v="300000"/>
    <n v="450000"/>
    <n v="150"/>
  </r>
  <r>
    <x v="6"/>
    <s v="01245"/>
    <s v="สอ.ต.ตลิ่งชัน"/>
    <n v="790"/>
    <n v="433"/>
    <n v="146"/>
    <n v="7"/>
    <n v="24"/>
    <n v="2"/>
    <n v="1402"/>
    <s v="S"/>
    <n v="1"/>
    <m/>
    <m/>
    <n v="300000"/>
    <n v="80000"/>
    <n v="26.666666666666668"/>
  </r>
  <r>
    <x v="6"/>
    <s v="01246"/>
    <s v="สอ.บ้านลานเท"/>
    <n v="5983"/>
    <n v="1541"/>
    <n v="277"/>
    <n v="66"/>
    <n v="48"/>
    <n v="3"/>
    <n v="7918"/>
    <s v="M"/>
    <m/>
    <m/>
    <n v="1"/>
    <n v="330000"/>
    <n v="865000"/>
    <n v="262.12121212121212"/>
  </r>
  <r>
    <x v="6"/>
    <s v="01247"/>
    <s v="สอ.ต.ตลาดเกรียบ"/>
    <n v="1656"/>
    <n v="751"/>
    <n v="243"/>
    <n v="30"/>
    <n v="44"/>
    <n v="4"/>
    <n v="2728"/>
    <s v="S"/>
    <n v="1"/>
    <m/>
    <m/>
    <n v="300000"/>
    <n v="285000"/>
    <n v="95"/>
  </r>
  <r>
    <x v="6"/>
    <s v="01248"/>
    <s v="สอ.ต.ขนอนหลวง"/>
    <n v="932"/>
    <n v="516"/>
    <n v="133"/>
    <n v="7"/>
    <n v="14"/>
    <n v="0"/>
    <n v="1602"/>
    <s v="S"/>
    <n v="1"/>
    <m/>
    <m/>
    <n v="300000"/>
    <n v="60000"/>
    <n v="20"/>
  </r>
  <r>
    <x v="7"/>
    <s v="01249"/>
    <s v="สอ.อำเภอบางปะหัน"/>
    <n v="2216"/>
    <n v="850"/>
    <n v="364"/>
    <n v="58"/>
    <n v="48"/>
    <n v="3"/>
    <n v="3539"/>
    <s v="M"/>
    <m/>
    <n v="1"/>
    <m/>
    <n v="330000"/>
    <n v="0"/>
    <n v="0"/>
  </r>
  <r>
    <x v="7"/>
    <s v="01250"/>
    <s v="สอ.ต.ขยาย"/>
    <n v="1003"/>
    <n v="501"/>
    <n v="148"/>
    <n v="3"/>
    <n v="16"/>
    <n v="1"/>
    <n v="1672"/>
    <s v="S"/>
    <n v="1"/>
    <m/>
    <m/>
    <n v="300000"/>
    <n v="100000"/>
    <n v="33.333333333333336"/>
  </r>
  <r>
    <x v="7"/>
    <s v="01251"/>
    <s v="สอ.ต.บางเดื่อ"/>
    <n v="2038"/>
    <n v="729"/>
    <n v="182"/>
    <n v="26"/>
    <n v="21"/>
    <n v="2"/>
    <n v="2998"/>
    <s v="S"/>
    <n v="1"/>
    <m/>
    <m/>
    <n v="300000"/>
    <n v="100000"/>
    <n v="33.333333333333336"/>
  </r>
  <r>
    <x v="7"/>
    <s v="01252"/>
    <s v="สอ.ต.เสาธง"/>
    <n v="1341"/>
    <n v="594"/>
    <n v="239"/>
    <n v="14"/>
    <n v="31"/>
    <n v="0"/>
    <n v="2219"/>
    <s v="S"/>
    <n v="1"/>
    <m/>
    <m/>
    <n v="300000"/>
    <n v="100000"/>
    <n v="33.333333333333336"/>
  </r>
  <r>
    <x v="7"/>
    <s v="01253"/>
    <s v="สอ.ต.ทางกลาง"/>
    <n v="1180"/>
    <n v="543"/>
    <n v="172"/>
    <n v="16"/>
    <n v="35"/>
    <n v="1"/>
    <n v="1947"/>
    <s v="S"/>
    <n v="1"/>
    <m/>
    <m/>
    <n v="300000"/>
    <n v="100000"/>
    <n v="33.333333333333336"/>
  </r>
  <r>
    <x v="7"/>
    <s v="01254"/>
    <s v="สอ.ต.บางเพลิง"/>
    <n v="862"/>
    <n v="432"/>
    <n v="75"/>
    <n v="15"/>
    <n v="12"/>
    <n v="1"/>
    <n v="1397"/>
    <s v="S"/>
    <n v="1"/>
    <m/>
    <m/>
    <n v="300000"/>
    <n v="100000"/>
    <n v="33.333333333333336"/>
  </r>
  <r>
    <x v="7"/>
    <s v="01255"/>
    <s v="สอ.ต.หันสัง"/>
    <n v="2295"/>
    <n v="966"/>
    <n v="254"/>
    <n v="18"/>
    <n v="42"/>
    <n v="0"/>
    <n v="3575"/>
    <s v="M"/>
    <m/>
    <n v="1"/>
    <m/>
    <n v="330000"/>
    <n v="0"/>
    <n v="0"/>
  </r>
  <r>
    <x v="7"/>
    <s v="01256"/>
    <s v="สอ.ต.ตานิม"/>
    <n v="1119"/>
    <n v="424"/>
    <n v="128"/>
    <n v="13"/>
    <n v="18"/>
    <n v="0"/>
    <n v="1702"/>
    <s v="S"/>
    <n v="1"/>
    <m/>
    <m/>
    <n v="300000"/>
    <n v="100000"/>
    <n v="33.333333333333336"/>
  </r>
  <r>
    <x v="7"/>
    <s v="01257"/>
    <s v="สอ.ต.ทับน้ำ"/>
    <n v="1956"/>
    <n v="759"/>
    <n v="193"/>
    <n v="13"/>
    <n v="27"/>
    <n v="1"/>
    <n v="2949"/>
    <s v="S"/>
    <n v="1"/>
    <m/>
    <m/>
    <n v="300000"/>
    <n v="245152"/>
    <n v="81.717333333333329"/>
  </r>
  <r>
    <x v="7"/>
    <s v="01258"/>
    <s v="สอ.ต.บ้านม้า"/>
    <n v="980"/>
    <n v="447"/>
    <n v="77"/>
    <n v="8"/>
    <n v="11"/>
    <n v="0"/>
    <n v="1523"/>
    <s v="S"/>
    <n v="1"/>
    <m/>
    <m/>
    <n v="300000"/>
    <n v="100000"/>
    <n v="33.333333333333336"/>
  </r>
  <r>
    <x v="7"/>
    <s v="01259"/>
    <s v="สอ.ต.ขวัญเมือง"/>
    <n v="1705"/>
    <n v="720"/>
    <n v="404"/>
    <n v="38"/>
    <n v="44"/>
    <n v="1"/>
    <n v="2912"/>
    <s v="S"/>
    <n v="1"/>
    <m/>
    <m/>
    <n v="300000"/>
    <n v="0"/>
    <n v="0"/>
  </r>
  <r>
    <x v="7"/>
    <s v="01260"/>
    <s v="สอ.ต.บ้านลี่"/>
    <n v="1322"/>
    <n v="840"/>
    <n v="234"/>
    <n v="25"/>
    <n v="35"/>
    <n v="0"/>
    <n v="2456"/>
    <s v="S"/>
    <n v="1"/>
    <m/>
    <m/>
    <n v="300000"/>
    <n v="100000"/>
    <n v="33.333333333333336"/>
  </r>
  <r>
    <x v="7"/>
    <s v="01261"/>
    <s v="สอ.ต.โพธิ์สามต้น"/>
    <n v="2251"/>
    <n v="840"/>
    <n v="234"/>
    <n v="25"/>
    <n v="35"/>
    <n v="0"/>
    <n v="3385"/>
    <s v="M"/>
    <m/>
    <n v="1"/>
    <m/>
    <n v="330000"/>
    <n v="100000"/>
    <n v="30.303030303030305"/>
  </r>
  <r>
    <x v="7"/>
    <s v="01262"/>
    <s v="สอ.ต.พุทเลา"/>
    <n v="1539"/>
    <n v="783"/>
    <n v="249"/>
    <n v="38"/>
    <n v="49"/>
    <n v="1"/>
    <n v="2659"/>
    <s v="S"/>
    <n v="1"/>
    <m/>
    <m/>
    <n v="300000"/>
    <n v="100000"/>
    <n v="33.333333333333336"/>
  </r>
  <r>
    <x v="7"/>
    <s v="01263"/>
    <s v="สอ.ต.ตาลเอน"/>
    <n v="579"/>
    <n v="261"/>
    <n v="61"/>
    <n v="2"/>
    <n v="13"/>
    <n v="0"/>
    <n v="916"/>
    <s v="S"/>
    <n v="1"/>
    <m/>
    <m/>
    <n v="300000"/>
    <n v="0"/>
    <n v="0"/>
  </r>
  <r>
    <x v="7"/>
    <s v="01264"/>
    <s v="สอ.ต.บ้านขล้อ"/>
    <n v="1292"/>
    <n v="605"/>
    <n v="143"/>
    <n v="17"/>
    <n v="20"/>
    <n v="0"/>
    <n v="2077"/>
    <s v="S"/>
    <n v="1"/>
    <m/>
    <m/>
    <n v="300000"/>
    <n v="100000"/>
    <n v="33.333333333333336"/>
  </r>
  <r>
    <x v="8"/>
    <s v="01265"/>
    <s v="สอ.ต.ผักไห่(วัดราษฎร์นิยม)"/>
    <n v="2358"/>
    <n v="797"/>
    <n v="376"/>
    <n v="21"/>
    <n v="52"/>
    <n v="0"/>
    <n v="3604"/>
    <s v="M"/>
    <n v="1"/>
    <m/>
    <m/>
    <n v="330000"/>
    <n v="220000"/>
    <n v="66.666666666666671"/>
  </r>
  <r>
    <x v="8"/>
    <s v="01266"/>
    <s v="สอ.ต.อมฤต"/>
    <n v="1258"/>
    <n v="451"/>
    <n v="208"/>
    <n v="28"/>
    <n v="28"/>
    <n v="0"/>
    <n v="1973"/>
    <s v="S"/>
    <n v="1"/>
    <m/>
    <m/>
    <n v="300000"/>
    <n v="220000"/>
    <n v="73.333333333333329"/>
  </r>
  <r>
    <x v="8"/>
    <s v="01267"/>
    <s v="สอ.ต.บ้านแค"/>
    <n v="1835"/>
    <n v="751"/>
    <n v="241"/>
    <n v="25"/>
    <n v="34"/>
    <n v="3"/>
    <n v="2889"/>
    <s v="S"/>
    <n v="1"/>
    <m/>
    <m/>
    <n v="300000"/>
    <n v="450000"/>
    <n v="150"/>
  </r>
  <r>
    <x v="8"/>
    <s v="01268"/>
    <s v="สอ.ต.ลาดน้ำเค็ม"/>
    <n v="1253"/>
    <n v="559"/>
    <n v="137"/>
    <n v="23"/>
    <n v="31"/>
    <n v="0"/>
    <n v="2003"/>
    <s v="S"/>
    <n v="1"/>
    <m/>
    <m/>
    <n v="300000"/>
    <n v="270000"/>
    <n v="90"/>
  </r>
  <r>
    <x v="8"/>
    <s v="01269"/>
    <s v="สอ.ต.ท่าดินแดง"/>
    <n v="1058"/>
    <n v="525"/>
    <n v="162"/>
    <n v="38"/>
    <n v="26"/>
    <n v="0"/>
    <n v="1809"/>
    <s v="S"/>
    <n v="1"/>
    <m/>
    <m/>
    <n v="300000"/>
    <n v="290000"/>
    <n v="96.666666666666671"/>
  </r>
  <r>
    <x v="8"/>
    <s v="01270"/>
    <s v="สอ.ต.ดอนลาน"/>
    <n v="1263"/>
    <n v="397"/>
    <n v="86"/>
    <n v="3"/>
    <n v="12"/>
    <n v="0"/>
    <n v="1761"/>
    <s v="S"/>
    <n v="1"/>
    <m/>
    <m/>
    <n v="300000"/>
    <n v="300000"/>
    <n v="100"/>
  </r>
  <r>
    <x v="8"/>
    <s v="01271"/>
    <s v="สอ.ต.นาคู"/>
    <n v="1156"/>
    <n v="412"/>
    <n v="119"/>
    <n v="23"/>
    <n v="17"/>
    <n v="0"/>
    <n v="1727"/>
    <s v="S"/>
    <n v="1"/>
    <m/>
    <m/>
    <n v="300000"/>
    <n v="280000"/>
    <n v="93.333333333333329"/>
  </r>
  <r>
    <x v="8"/>
    <s v="01272"/>
    <s v="สอ.ต.กุฎี"/>
    <n v="1265"/>
    <n v="568"/>
    <n v="226"/>
    <n v="10"/>
    <n v="20"/>
    <n v="0"/>
    <n v="2089"/>
    <s v="S"/>
    <n v="1"/>
    <m/>
    <m/>
    <n v="300000"/>
    <n v="300000"/>
    <n v="100"/>
  </r>
  <r>
    <x v="8"/>
    <s v="01273"/>
    <s v="สอ.ต.ลำตะเคียน"/>
    <n v="838"/>
    <n v="279"/>
    <n v="52"/>
    <n v="7"/>
    <n v="8"/>
    <n v="0"/>
    <n v="1184"/>
    <s v="S"/>
    <n v="1"/>
    <m/>
    <m/>
    <n v="300000"/>
    <n v="300000"/>
    <n v="100"/>
  </r>
  <r>
    <x v="8"/>
    <s v="01274"/>
    <s v="สอ.ต.โคกช้าง"/>
    <n v="928"/>
    <n v="369"/>
    <n v="97"/>
    <n v="9"/>
    <n v="11"/>
    <n v="1"/>
    <n v="1415"/>
    <s v="S"/>
    <n v="1"/>
    <m/>
    <m/>
    <n v="300000"/>
    <n v="250000"/>
    <n v="83.333333333333329"/>
  </r>
  <r>
    <x v="8"/>
    <s v="01275"/>
    <s v="สอ.ต.จักราช"/>
    <n v="1287"/>
    <n v="475"/>
    <n v="142"/>
    <n v="13"/>
    <n v="17"/>
    <n v="1"/>
    <n v="1935"/>
    <s v="S"/>
    <n v="1"/>
    <m/>
    <m/>
    <n v="300000"/>
    <n v="300000"/>
    <n v="100"/>
  </r>
  <r>
    <x v="8"/>
    <s v="01276"/>
    <s v="สอ.ต.หนองน้ำใหญ่"/>
    <n v="3850"/>
    <n v="1279"/>
    <n v="237"/>
    <n v="89"/>
    <n v="53"/>
    <n v="3"/>
    <n v="5511"/>
    <s v="M"/>
    <m/>
    <n v="1"/>
    <m/>
    <n v="330000"/>
    <n v="420000"/>
    <n v="127.27272727272727"/>
  </r>
  <r>
    <x v="8"/>
    <s v="01277"/>
    <s v="สอ.ต.ลาดชิด"/>
    <n v="2444"/>
    <n v="734"/>
    <n v="232"/>
    <n v="34"/>
    <n v="23"/>
    <n v="0"/>
    <n v="3467"/>
    <s v="M"/>
    <m/>
    <n v="1"/>
    <m/>
    <n v="330000"/>
    <n v="450000"/>
    <n v="136.36363636363637"/>
  </r>
  <r>
    <x v="8"/>
    <s v="01278"/>
    <s v="สอ.ต.หน้าโคก"/>
    <n v="1461"/>
    <n v="441"/>
    <n v="145"/>
    <n v="15"/>
    <n v="30"/>
    <n v="3"/>
    <n v="2095"/>
    <s v="S"/>
    <n v="1"/>
    <m/>
    <m/>
    <n v="300000"/>
    <n v="260000"/>
    <n v="86.666666666666671"/>
  </r>
  <r>
    <x v="8"/>
    <s v="01279"/>
    <s v="สอ.ต.บ้านใหญ่"/>
    <n v="1206"/>
    <n v="573"/>
    <n v="219"/>
    <n v="16"/>
    <n v="34"/>
    <n v="0"/>
    <n v="2048"/>
    <s v="S"/>
    <n v="1"/>
    <m/>
    <m/>
    <n v="300000"/>
    <n v="280000"/>
    <n v="93.333333333333329"/>
  </r>
  <r>
    <x v="9"/>
    <s v="01280"/>
    <s v="สอ.ต.โคกม่วง"/>
    <n v="1838"/>
    <n v="1173"/>
    <n v="250"/>
    <n v="27"/>
    <n v="55"/>
    <n v="2"/>
    <n v="3345"/>
    <s v="M"/>
    <m/>
    <n v="1"/>
    <m/>
    <n v="330000"/>
    <n v="295000"/>
    <n v="89.393939393939391"/>
  </r>
  <r>
    <x v="9"/>
    <s v="01281"/>
    <s v="สอ.ต.ระโสม"/>
    <n v="3038"/>
    <n v="1276"/>
    <n v="176"/>
    <n v="31"/>
    <n v="31"/>
    <n v="1"/>
    <n v="4553"/>
    <s v="M"/>
    <m/>
    <n v="1"/>
    <m/>
    <n v="330000"/>
    <n v="377500"/>
    <n v="114.39393939393939"/>
  </r>
  <r>
    <x v="9"/>
    <s v="01282"/>
    <s v="สอ.ต.หนองน้ำใส"/>
    <n v="1943"/>
    <n v="841"/>
    <n v="213"/>
    <n v="21"/>
    <n v="30"/>
    <n v="1"/>
    <n v="3049"/>
    <s v="M"/>
    <m/>
    <n v="1"/>
    <m/>
    <n v="330000"/>
    <n v="325000"/>
    <n v="98.484848484848484"/>
  </r>
  <r>
    <x v="9"/>
    <s v="01283"/>
    <s v="สอ.ต.ดอนหญ้านาง"/>
    <n v="1592"/>
    <n v="745"/>
    <n v="252"/>
    <n v="11"/>
    <n v="39"/>
    <n v="1"/>
    <n v="2640"/>
    <s v="S"/>
    <n v="1"/>
    <m/>
    <m/>
    <n v="300000"/>
    <n v="310000"/>
    <n v="103.33333333333333"/>
  </r>
  <r>
    <x v="9"/>
    <s v="01284"/>
    <s v="สอ.ต.ไผ่ล้อม"/>
    <n v="2099"/>
    <n v="1149"/>
    <n v="264"/>
    <n v="28"/>
    <n v="51"/>
    <n v="2"/>
    <n v="3593"/>
    <s v="M"/>
    <m/>
    <n v="1"/>
    <m/>
    <n v="330000"/>
    <n v="325000"/>
    <n v="98.484848484848484"/>
  </r>
  <r>
    <x v="9"/>
    <s v="01285"/>
    <s v="สอ.ต.กระจิว"/>
    <n v="2189"/>
    <n v="1136"/>
    <n v="185"/>
    <n v="24"/>
    <n v="35"/>
    <n v="2"/>
    <n v="3571"/>
    <s v="M"/>
    <m/>
    <n v="1"/>
    <m/>
    <n v="330000"/>
    <n v="292500"/>
    <n v="88.63636363636364"/>
  </r>
  <r>
    <x v="9"/>
    <s v="01286"/>
    <s v="สอ.ต.พระแก้ว"/>
    <n v="1540"/>
    <n v="722"/>
    <n v="108"/>
    <n v="10"/>
    <n v="18"/>
    <n v="1"/>
    <n v="2399"/>
    <s v="S"/>
    <n v="1"/>
    <m/>
    <m/>
    <n v="300000"/>
    <n v="295000"/>
    <n v="98.333333333333329"/>
  </r>
  <r>
    <x v="10"/>
    <s v="01287"/>
    <s v="สอ.ต.หลักชัย"/>
    <n v="3708"/>
    <n v="1083"/>
    <n v="237"/>
    <n v="42"/>
    <n v="37"/>
    <n v="2"/>
    <n v="5109"/>
    <s v="M"/>
    <m/>
    <n v="1"/>
    <m/>
    <n v="330000"/>
    <n v="330000"/>
    <n v="100"/>
  </r>
  <r>
    <x v="10"/>
    <s v="01288"/>
    <s v="สอ.ต.สามเมือง"/>
    <n v="2425"/>
    <n v="813"/>
    <n v="113"/>
    <n v="13"/>
    <n v="22"/>
    <n v="2"/>
    <n v="3388"/>
    <s v="M"/>
    <n v="1"/>
    <m/>
    <m/>
    <n v="330000"/>
    <n v="330000"/>
    <n v="100"/>
  </r>
  <r>
    <x v="10"/>
    <s v="01289"/>
    <s v="สอ.พระยาบันลือ"/>
    <n v="3048"/>
    <n v="936"/>
    <n v="220"/>
    <n v="10"/>
    <n v="40"/>
    <n v="1"/>
    <n v="4255"/>
    <s v="M"/>
    <m/>
    <n v="1"/>
    <m/>
    <n v="330000"/>
    <n v="330000"/>
    <n v="100"/>
  </r>
  <r>
    <x v="10"/>
    <s v="01290"/>
    <s v="สอ.ต.สิงหนาท"/>
    <n v="2344"/>
    <n v="794"/>
    <n v="143"/>
    <n v="16"/>
    <n v="16"/>
    <n v="1"/>
    <n v="3314"/>
    <s v="M"/>
    <n v="1"/>
    <m/>
    <m/>
    <n v="330000"/>
    <n v="330000"/>
    <n v="100"/>
  </r>
  <r>
    <x v="10"/>
    <s v="01291"/>
    <s v="สอ.สิงหนาท 2 (วัดหนองปลาดุก)"/>
    <n v="1661"/>
    <n v="741"/>
    <n v="147"/>
    <n v="34"/>
    <n v="23"/>
    <n v="1"/>
    <n v="2607"/>
    <s v="S"/>
    <n v="1"/>
    <m/>
    <m/>
    <n v="300000"/>
    <n v="300000"/>
    <n v="100"/>
  </r>
  <r>
    <x v="10"/>
    <s v="01292"/>
    <s v="สอ.ต.คู้สลอด"/>
    <n v="3072"/>
    <n v="802"/>
    <n v="146"/>
    <n v="58"/>
    <n v="23"/>
    <n v="0"/>
    <n v="4101"/>
    <s v="M"/>
    <m/>
    <n v="1"/>
    <m/>
    <n v="330000"/>
    <n v="330000"/>
    <n v="100"/>
  </r>
  <r>
    <x v="10"/>
    <s v="01293"/>
    <s v="สอ.ต.พระยาบันลือ"/>
    <n v="2408"/>
    <n v="711"/>
    <n v="191"/>
    <n v="11"/>
    <n v="12"/>
    <n v="1"/>
    <n v="3334"/>
    <s v="M"/>
    <m/>
    <n v="1"/>
    <m/>
    <n v="330000"/>
    <n v="330000"/>
    <n v="100"/>
  </r>
  <r>
    <x v="10"/>
    <s v="14915"/>
    <s v="สอ.ต.ลาดบัวหลวง"/>
    <n v="4844"/>
    <n v="1554"/>
    <n v="461"/>
    <n v="50"/>
    <n v="62"/>
    <n v="4"/>
    <n v="6975"/>
    <s v="M"/>
    <m/>
    <n v="1"/>
    <m/>
    <n v="330000"/>
    <n v="330000"/>
    <n v="100"/>
  </r>
  <r>
    <x v="11"/>
    <s v="01294"/>
    <s v="สอ.ต.วังน้อย"/>
    <n v="3018"/>
    <n v="1393"/>
    <n v="386"/>
    <n v="33"/>
    <n v="58"/>
    <n v="6"/>
    <n v="4894"/>
    <s v="M"/>
    <m/>
    <n v="1"/>
    <m/>
    <n v="330000"/>
    <n v="529160"/>
    <n v="160.35151515151514"/>
  </r>
  <r>
    <x v="11"/>
    <s v="01295"/>
    <s v="สอ.ต.ลำตาเสา"/>
    <n v="7254"/>
    <n v="4191"/>
    <n v="819"/>
    <n v="83"/>
    <n v="151"/>
    <n v="3"/>
    <n v="12501"/>
    <s v="L"/>
    <m/>
    <m/>
    <n v="1"/>
    <n v="360000"/>
    <n v="808920"/>
    <n v="224.7"/>
  </r>
  <r>
    <x v="11"/>
    <s v="01296"/>
    <s v="สอ.ต.บ่อตาโล่"/>
    <n v="4761"/>
    <n v="1830"/>
    <n v="270"/>
    <n v="21"/>
    <n v="43"/>
    <n v="0"/>
    <n v="6925"/>
    <s v="M"/>
    <m/>
    <n v="1"/>
    <m/>
    <n v="330000"/>
    <n v="713380"/>
    <n v="216.17575757575759"/>
  </r>
  <r>
    <x v="11"/>
    <s v="01297"/>
    <s v="สอ.บ้านหนองโสน"/>
    <n v="458"/>
    <n v="65"/>
    <n v="11"/>
    <n v="3"/>
    <n v="1"/>
    <n v="1"/>
    <n v="539"/>
    <s v="S"/>
    <n v="1"/>
    <m/>
    <m/>
    <n v="300000"/>
    <n v="356520"/>
    <n v="118.84"/>
  </r>
  <r>
    <x v="11"/>
    <s v="01298"/>
    <s v="สอ.ต.สนับทึบ"/>
    <n v="2155"/>
    <n v="1454"/>
    <n v="138"/>
    <n v="22"/>
    <n v="23"/>
    <n v="1"/>
    <n v="3793"/>
    <s v="M"/>
    <m/>
    <n v="1"/>
    <m/>
    <n v="330000"/>
    <n v="757880"/>
    <n v="229.66060606060606"/>
  </r>
  <r>
    <x v="11"/>
    <s v="01299"/>
    <s v="สอ.ต.พยอม"/>
    <n v="4843"/>
    <n v="3656"/>
    <n v="602"/>
    <n v="51"/>
    <n v="151"/>
    <n v="3"/>
    <n v="9306"/>
    <s v="L"/>
    <m/>
    <m/>
    <n v="1"/>
    <n v="360000"/>
    <n v="636660"/>
    <n v="176.85"/>
  </r>
  <r>
    <x v="11"/>
    <s v="01300"/>
    <s v="สอ.ต.หันตะเภา"/>
    <n v="2370"/>
    <n v="939"/>
    <n v="93"/>
    <n v="26"/>
    <n v="22"/>
    <n v="2"/>
    <n v="3452"/>
    <s v="M"/>
    <m/>
    <n v="1"/>
    <m/>
    <n v="330000"/>
    <n v="200000"/>
    <n v="60.606060606060609"/>
  </r>
  <r>
    <x v="11"/>
    <s v="01301"/>
    <s v="สอ.ต.วังจุฬา"/>
    <n v="2177"/>
    <n v="1118"/>
    <n v="163"/>
    <n v="35"/>
    <n v="32"/>
    <n v="0"/>
    <n v="3525"/>
    <s v="M"/>
    <m/>
    <n v="1"/>
    <m/>
    <n v="330000"/>
    <n v="300000"/>
    <n v="90.909090909090907"/>
  </r>
  <r>
    <x v="11"/>
    <s v="01302"/>
    <s v="สอ.ต.ข้าวงาม"/>
    <n v="1434"/>
    <n v="705"/>
    <n v="72"/>
    <n v="12"/>
    <n v="20"/>
    <n v="0"/>
    <n v="2243"/>
    <s v="S"/>
    <n v="1"/>
    <m/>
    <m/>
    <n v="300000"/>
    <n v="489480"/>
    <n v="163.16"/>
  </r>
  <r>
    <x v="11"/>
    <s v="01303"/>
    <s v="สอ.ต.ชะแมบ"/>
    <n v="4076"/>
    <n v="1511"/>
    <n v="177"/>
    <n v="21"/>
    <n v="36"/>
    <n v="2"/>
    <n v="5823"/>
    <s v="M"/>
    <m/>
    <n v="1"/>
    <m/>
    <n v="330000"/>
    <n v="450000"/>
    <n v="136.36363636363637"/>
  </r>
  <r>
    <x v="12"/>
    <s v="01321"/>
    <s v="สอ.ต.แก้วฟ้า"/>
    <n v="1273"/>
    <n v="466"/>
    <n v="93"/>
    <n v="15"/>
    <n v="15"/>
    <n v="1"/>
    <n v="1863"/>
    <s v="S"/>
    <n v="1"/>
    <m/>
    <m/>
    <n v="300000"/>
    <n v="248859.91"/>
    <n v="82.953303333333338"/>
  </r>
  <r>
    <x v="12"/>
    <s v="01322"/>
    <s v="สอ.ต.เต่าเล่า"/>
    <n v="1463"/>
    <n v="665"/>
    <n v="189"/>
    <n v="36"/>
    <n v="37"/>
    <n v="2"/>
    <n v="2392"/>
    <s v="S"/>
    <n v="1"/>
    <m/>
    <m/>
    <n v="300000"/>
    <n v="209789.5"/>
    <n v="69.929833333333335"/>
  </r>
  <r>
    <x v="12"/>
    <s v="01323"/>
    <s v="สอ.ทางหลวง"/>
    <n v="1147"/>
    <n v="498"/>
    <n v="67"/>
    <n v="4"/>
    <n v="17"/>
    <n v="1"/>
    <n v="1734"/>
    <s v="S"/>
    <n v="1"/>
    <m/>
    <m/>
    <n v="300000"/>
    <n v="222245.9"/>
    <n v="74.081966666666673"/>
  </r>
  <r>
    <x v="12"/>
    <s v="01324"/>
    <s v="สอ.ต.ปลายกลัด"/>
    <n v="1862"/>
    <n v="755"/>
    <n v="138"/>
    <n v="28"/>
    <n v="27"/>
    <n v="2"/>
    <n v="2812"/>
    <s v="S"/>
    <m/>
    <n v="1"/>
    <m/>
    <n v="300000"/>
    <n v="236174.08000000002"/>
    <n v="78.724693333333335"/>
  </r>
  <r>
    <x v="12"/>
    <s v="01325"/>
    <s v="สอ.ต.เทพมงคล"/>
    <n v="2414"/>
    <n v="853"/>
    <n v="143"/>
    <n v="14"/>
    <n v="22"/>
    <n v="1"/>
    <n v="3447"/>
    <s v="M"/>
    <m/>
    <n v="1"/>
    <m/>
    <n v="330000"/>
    <n v="260552.43"/>
    <n v="78.955281818181817"/>
  </r>
  <r>
    <x v="12"/>
    <s v="01326"/>
    <s v="สอ.ต.วังพัฒนา"/>
    <n v="1090"/>
    <n v="307"/>
    <n v="64"/>
    <n v="5"/>
    <n v="7"/>
    <n v="0"/>
    <n v="1473"/>
    <s v="S"/>
    <n v="1"/>
    <m/>
    <m/>
    <n v="300000"/>
    <n v="241349.28"/>
    <n v="80.449759999999998"/>
  </r>
  <r>
    <x v="13"/>
    <s v="01327"/>
    <s v="สอ.อำเภออุทัย"/>
    <n v="4481"/>
    <n v="1597"/>
    <n v="484"/>
    <n v="60"/>
    <n v="72"/>
    <n v="11"/>
    <n v="6705"/>
    <s v="M"/>
    <m/>
    <n v="1"/>
    <m/>
    <n v="330000"/>
    <n v="330000"/>
    <n v="100"/>
  </r>
  <r>
    <x v="13"/>
    <s v="01328"/>
    <s v="สอ.ต.คานหาม"/>
    <n v="3747"/>
    <n v="1762"/>
    <n v="488"/>
    <n v="57"/>
    <n v="96"/>
    <n v="2"/>
    <n v="6152"/>
    <s v="M"/>
    <m/>
    <n v="1"/>
    <m/>
    <n v="330000"/>
    <n v="82500"/>
    <n v="25"/>
  </r>
  <r>
    <x v="13"/>
    <s v="01329"/>
    <s v="สอ.ต.บ้านช้าง"/>
    <n v="1936"/>
    <n v="658"/>
    <n v="86"/>
    <n v="13"/>
    <n v="13"/>
    <n v="2"/>
    <n v="2708"/>
    <s v="S"/>
    <n v="1"/>
    <m/>
    <m/>
    <n v="300000"/>
    <n v="355400"/>
    <n v="118.46666666666667"/>
  </r>
  <r>
    <x v="13"/>
    <s v="01330"/>
    <s v="สอ.ต.สามบัณฑิต"/>
    <n v="2694"/>
    <n v="1168"/>
    <n v="187"/>
    <n v="35"/>
    <n v="38"/>
    <n v="0"/>
    <n v="4122"/>
    <s v="M"/>
    <m/>
    <n v="1"/>
    <m/>
    <n v="330000"/>
    <n v="384700"/>
    <n v="116.57575757575758"/>
  </r>
  <r>
    <x v="13"/>
    <s v="01331"/>
    <s v="สอ.ต.บ้านหีบ"/>
    <n v="2385"/>
    <n v="1139"/>
    <n v="114"/>
    <n v="14"/>
    <n v="28"/>
    <n v="0"/>
    <n v="3680"/>
    <s v="M"/>
    <m/>
    <n v="1"/>
    <m/>
    <n v="330000"/>
    <n v="330000"/>
    <n v="100"/>
  </r>
  <r>
    <x v="13"/>
    <s v="01332"/>
    <s v="สอ.ต.หนองไม้ซุง"/>
    <n v="2025"/>
    <n v="708"/>
    <n v="98"/>
    <n v="25"/>
    <n v="13"/>
    <n v="0"/>
    <n v="2869"/>
    <s v="S"/>
    <n v="1"/>
    <m/>
    <m/>
    <n v="300000"/>
    <n v="330000"/>
    <n v="110"/>
  </r>
  <r>
    <x v="13"/>
    <s v="01333"/>
    <s v="สอ.ต.เสนา"/>
    <n v="1975"/>
    <n v="840"/>
    <n v="113"/>
    <n v="11"/>
    <n v="20"/>
    <n v="0"/>
    <n v="2959"/>
    <s v="S"/>
    <n v="1"/>
    <m/>
    <m/>
    <n v="300000"/>
    <n v="330000"/>
    <n v="110"/>
  </r>
  <r>
    <x v="13"/>
    <s v="01334"/>
    <s v="สอ.ต.หนองน้ำส้ม"/>
    <n v="1677"/>
    <n v="720"/>
    <n v="138"/>
    <n v="22"/>
    <n v="20"/>
    <n v="0"/>
    <n v="2577"/>
    <s v="S"/>
    <n v="1"/>
    <m/>
    <m/>
    <n v="300000"/>
    <n v="347400"/>
    <n v="115.8"/>
  </r>
  <r>
    <x v="13"/>
    <s v="01335"/>
    <s v="สอ.ต.โพสาวหาญ"/>
    <n v="2236"/>
    <n v="1106"/>
    <n v="143"/>
    <n v="33"/>
    <n v="32"/>
    <n v="0"/>
    <n v="3550"/>
    <s v="M"/>
    <m/>
    <n v="1"/>
    <m/>
    <n v="330000"/>
    <n v="330000"/>
    <n v="100"/>
  </r>
  <r>
    <x v="13"/>
    <s v="01336"/>
    <s v="สอ.ต.ธนู"/>
    <n v="3037"/>
    <n v="1279"/>
    <n v="711"/>
    <n v="66"/>
    <n v="74"/>
    <n v="0"/>
    <n v="5167"/>
    <s v="M"/>
    <m/>
    <n v="1"/>
    <m/>
    <n v="330000"/>
    <n v="330000"/>
    <n v="100"/>
  </r>
  <r>
    <x v="13"/>
    <s v="01337"/>
    <s v="สอ.ต.ข้าวเม่า"/>
    <n v="1397"/>
    <n v="601"/>
    <n v="207"/>
    <n v="24"/>
    <n v="31"/>
    <n v="0"/>
    <n v="2260"/>
    <s v="S"/>
    <n v="1"/>
    <m/>
    <m/>
    <n v="300000"/>
    <n v="225000"/>
    <n v="75"/>
  </r>
  <r>
    <x v="13"/>
    <s v="01338"/>
    <s v="สอ.บ้านหนองคัดเค้า"/>
    <n v="1230"/>
    <n v="583"/>
    <n v="180"/>
    <n v="13"/>
    <n v="20"/>
    <n v="0"/>
    <n v="2026"/>
    <s v="S"/>
    <n v="1"/>
    <m/>
    <m/>
    <n v="300000"/>
    <n v="300000"/>
    <n v="100"/>
  </r>
  <r>
    <x v="14"/>
    <s v="01339"/>
    <s v="สอ.ต.มหาราช"/>
    <n v="767"/>
    <n v="353"/>
    <n v="152"/>
    <n v="21"/>
    <n v="21"/>
    <n v="0"/>
    <n v="1314"/>
    <s v="S"/>
    <n v="1"/>
    <m/>
    <m/>
    <n v="300000"/>
    <n v="330000"/>
    <n v="110"/>
  </r>
  <r>
    <x v="14"/>
    <s v="01340"/>
    <s v="สอ.ต.กระทุ่ม"/>
    <n v="465"/>
    <n v="31"/>
    <n v="22"/>
    <n v="1"/>
    <n v="1"/>
    <n v="0"/>
    <n v="520"/>
    <s v="S"/>
    <n v="1"/>
    <m/>
    <m/>
    <n v="300000"/>
    <n v="180000"/>
    <n v="60"/>
  </r>
  <r>
    <x v="14"/>
    <s v="01341"/>
    <s v="สอ.บ้านหนองจิก"/>
    <n v="241"/>
    <n v="371"/>
    <n v="101"/>
    <n v="17"/>
    <n v="8"/>
    <n v="0"/>
    <n v="738"/>
    <s v="S"/>
    <n v="1"/>
    <m/>
    <m/>
    <n v="300000"/>
    <n v="180000"/>
    <n v="60"/>
  </r>
  <r>
    <x v="14"/>
    <s v="01342"/>
    <s v="สอ.ต.น้ำเต้า"/>
    <n v="755"/>
    <n v="324"/>
    <n v="110"/>
    <n v="17"/>
    <n v="11"/>
    <n v="0"/>
    <n v="1217"/>
    <s v="S"/>
    <n v="1"/>
    <m/>
    <m/>
    <n v="300000"/>
    <n v="220000"/>
    <n v="73.333333333333329"/>
  </r>
  <r>
    <x v="14"/>
    <s v="01343"/>
    <s v="สอ.ต.บางนา"/>
    <n v="1109"/>
    <n v="487"/>
    <n v="172"/>
    <n v="31"/>
    <n v="27"/>
    <n v="0"/>
    <n v="1826"/>
    <s v="S"/>
    <n v="1"/>
    <m/>
    <m/>
    <n v="300000"/>
    <n v="350000"/>
    <n v="116.66666666666667"/>
  </r>
  <r>
    <x v="14"/>
    <s v="01344"/>
    <s v="สอ.ต.โรงช้าง"/>
    <n v="967"/>
    <n v="393"/>
    <n v="205"/>
    <n v="27"/>
    <n v="16"/>
    <n v="0"/>
    <n v="1608"/>
    <s v="S"/>
    <n v="1"/>
    <m/>
    <m/>
    <n v="300000"/>
    <n v="210000"/>
    <n v="70"/>
  </r>
  <r>
    <x v="14"/>
    <s v="01345"/>
    <s v="สอ.ต.เจ้าปลุก"/>
    <n v="837"/>
    <n v="345"/>
    <n v="148"/>
    <n v="12"/>
    <n v="22"/>
    <n v="1"/>
    <n v="1365"/>
    <s v="S"/>
    <n v="1"/>
    <m/>
    <m/>
    <n v="300000"/>
    <n v="290000"/>
    <n v="96.666666666666671"/>
  </r>
  <r>
    <x v="14"/>
    <s v="01346"/>
    <s v="สอ.ต.พิตเพียน"/>
    <n v="925"/>
    <n v="435"/>
    <n v="202"/>
    <n v="39"/>
    <n v="28"/>
    <n v="1"/>
    <n v="1630"/>
    <s v="S"/>
    <n v="1"/>
    <m/>
    <m/>
    <n v="300000"/>
    <n v="230000"/>
    <n v="76.666666666666671"/>
  </r>
  <r>
    <x v="14"/>
    <s v="01347"/>
    <s v="สอ.ต.บ้านนา"/>
    <n v="2292"/>
    <n v="839"/>
    <n v="279"/>
    <n v="31"/>
    <n v="40"/>
    <n v="0"/>
    <n v="3481"/>
    <s v="M"/>
    <m/>
    <n v="1"/>
    <m/>
    <n v="330000"/>
    <n v="265000"/>
    <n v="80.303030303030297"/>
  </r>
  <r>
    <x v="14"/>
    <s v="01348"/>
    <s v="สอ.ต.บ้านขวาง"/>
    <n v="1114"/>
    <n v="494"/>
    <n v="232"/>
    <n v="29"/>
    <n v="29"/>
    <n v="3"/>
    <n v="1901"/>
    <s v="S"/>
    <n v="1"/>
    <m/>
    <m/>
    <n v="300000"/>
    <n v="140000"/>
    <n v="46.666666666666664"/>
  </r>
  <r>
    <x v="14"/>
    <s v="01349"/>
    <s v="สอ.ต.ท่าตอ"/>
    <n v="1330"/>
    <n v="490"/>
    <n v="172"/>
    <n v="32"/>
    <n v="33"/>
    <n v="3"/>
    <n v="2060"/>
    <s v="S"/>
    <n v="1"/>
    <m/>
    <m/>
    <n v="300000"/>
    <n v="305000"/>
    <n v="101.66666666666667"/>
  </r>
  <r>
    <x v="14"/>
    <s v="01350"/>
    <s v="สอ.ต.บ้านใหม่"/>
    <n v="1213"/>
    <n v="561"/>
    <n v="151"/>
    <n v="27"/>
    <n v="39"/>
    <n v="0"/>
    <n v="1991"/>
    <s v="S"/>
    <n v="1"/>
    <m/>
    <m/>
    <n v="300000"/>
    <n v="315000"/>
    <n v="105"/>
  </r>
  <r>
    <x v="15"/>
    <s v="01351"/>
    <s v="สอ.ต.บ้านแพรก"/>
    <n v="1158"/>
    <n v="422"/>
    <n v="319"/>
    <n v="63"/>
    <n v="43"/>
    <n v="0"/>
    <n v="2005"/>
    <s v="S"/>
    <n v="1"/>
    <m/>
    <m/>
    <n v="300000"/>
    <n v="200000"/>
    <n v="66.666666666666671"/>
  </r>
  <r>
    <x v="15"/>
    <s v="01352"/>
    <s v="สอ.ต.สำพะเนียง"/>
    <n v="1530"/>
    <n v="578"/>
    <n v="245"/>
    <n v="39"/>
    <n v="35"/>
    <n v="1"/>
    <n v="2428"/>
    <s v="S"/>
    <n v="1"/>
    <m/>
    <m/>
    <n v="300000"/>
    <n v="200000"/>
    <n v="66.666666666666671"/>
  </r>
  <r>
    <x v="15"/>
    <s v="01353"/>
    <s v="สอ.ต.คลองน้อย"/>
    <n v="792"/>
    <n v="362"/>
    <n v="96"/>
    <n v="16"/>
    <n v="10"/>
    <n v="0"/>
    <n v="1276"/>
    <s v="S"/>
    <n v="1"/>
    <m/>
    <m/>
    <n v="300000"/>
    <n v="200000"/>
    <n v="66.666666666666671"/>
  </r>
  <r>
    <x v="15"/>
    <s v="01354"/>
    <s v="สอ.ต.สองห้อง"/>
    <n v="849"/>
    <n v="387"/>
    <n v="91"/>
    <n v="0"/>
    <n v="15"/>
    <n v="0"/>
    <n v="1342"/>
    <s v="S"/>
    <n v="1"/>
    <m/>
    <m/>
    <n v="300000"/>
    <n v="200000"/>
    <n v="66.6666666666666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5">
  <r>
    <x v="0"/>
    <s v="01149"/>
    <s v="สอ.วัดพระญาติการาม"/>
    <n v="5010"/>
    <n v="2155"/>
    <n v="997"/>
    <n v="69"/>
    <n v="142"/>
    <n v="5"/>
    <n v="8378"/>
    <x v="0"/>
  </r>
  <r>
    <x v="0"/>
    <s v="01150"/>
    <s v="สอ.ต.ไผ่ลิง"/>
    <n v="4399"/>
    <n v="1922"/>
    <n v="756"/>
    <n v="70"/>
    <n v="52"/>
    <n v="1"/>
    <n v="7200"/>
    <x v="1"/>
  </r>
  <r>
    <x v="0"/>
    <s v="01151"/>
    <s v="สอ.ต.ปากกราน"/>
    <n v="3769"/>
    <n v="1484"/>
    <n v="540"/>
    <n v="58"/>
    <n v="75"/>
    <n v="1"/>
    <n v="5927"/>
    <x v="1"/>
  </r>
  <r>
    <x v="0"/>
    <s v="01152"/>
    <s v="สอ.ต.ภูเขาทอง"/>
    <n v="1974"/>
    <n v="586"/>
    <n v="163"/>
    <n v="16"/>
    <n v="0"/>
    <n v="2"/>
    <n v="2741"/>
    <x v="2"/>
  </r>
  <r>
    <x v="0"/>
    <s v="01153"/>
    <s v="สอ.ต.สำเภาล่ม"/>
    <n v="4531"/>
    <n v="1732"/>
    <n v="386"/>
    <n v="71"/>
    <n v="89"/>
    <n v="2"/>
    <n v="6811"/>
    <x v="1"/>
  </r>
  <r>
    <x v="0"/>
    <s v="01154"/>
    <s v="สอ.บ้านเพนียด"/>
    <n v="1731"/>
    <n v="624"/>
    <n v="183"/>
    <n v="7"/>
    <n v="0"/>
    <n v="0"/>
    <n v="2545"/>
    <x v="2"/>
  </r>
  <r>
    <x v="0"/>
    <s v="01155"/>
    <s v="สอ.ต.สวนพริก"/>
    <n v="1279"/>
    <n v="375"/>
    <n v="102"/>
    <n v="17"/>
    <n v="11"/>
    <n v="1"/>
    <n v="1785"/>
    <x v="2"/>
  </r>
  <r>
    <x v="0"/>
    <s v="01156"/>
    <s v="สอ.ต.คลองตะเคียน"/>
    <n v="3359"/>
    <n v="1211"/>
    <n v="246"/>
    <n v="36"/>
    <n v="108"/>
    <n v="1"/>
    <n v="4961"/>
    <x v="1"/>
  </r>
  <r>
    <x v="0"/>
    <s v="01157"/>
    <s v="สอ.ต.วัดตูม"/>
    <n v="2480"/>
    <n v="1038"/>
    <n v="693"/>
    <n v="39"/>
    <n v="38"/>
    <n v="4"/>
    <n v="4292"/>
    <x v="1"/>
  </r>
  <r>
    <x v="0"/>
    <s v="01158"/>
    <s v="สอ.ต.หันตรา"/>
    <n v="3612"/>
    <n v="1734"/>
    <n v="831"/>
    <n v="88"/>
    <n v="105"/>
    <n v="3"/>
    <n v="6373"/>
    <x v="1"/>
  </r>
  <r>
    <x v="0"/>
    <s v="01159"/>
    <s v="สอ.ต.ลุมพลี"/>
    <n v="4043"/>
    <n v="1065"/>
    <n v="266"/>
    <n v="29"/>
    <n v="31"/>
    <n v="2"/>
    <n v="5436"/>
    <x v="1"/>
  </r>
  <r>
    <x v="0"/>
    <s v="01160"/>
    <s v="สอ.ต.บ้านใหม่"/>
    <n v="3776"/>
    <n v="1121"/>
    <n v="308"/>
    <n v="23"/>
    <n v="50"/>
    <n v="2"/>
    <n v="5280"/>
    <x v="1"/>
  </r>
  <r>
    <x v="0"/>
    <s v="01161"/>
    <s v="สอ.ต.บ้านเกาะ"/>
    <n v="2854"/>
    <n v="1346"/>
    <n v="679"/>
    <n v="59"/>
    <n v="95"/>
    <n v="1"/>
    <n v="5034"/>
    <x v="1"/>
  </r>
  <r>
    <x v="0"/>
    <s v="01162"/>
    <s v="สอ.ต.คลองสวนพลู"/>
    <n v="3730"/>
    <n v="1560"/>
    <n v="926"/>
    <n v="105"/>
    <n v="91"/>
    <n v="7"/>
    <n v="6419"/>
    <x v="1"/>
  </r>
  <r>
    <x v="0"/>
    <s v="01163"/>
    <s v="สอ.ต.คลองสระบัว"/>
    <n v="2633"/>
    <n v="971"/>
    <n v="392"/>
    <n v="63"/>
    <n v="56"/>
    <n v="2"/>
    <n v="4117"/>
    <x v="1"/>
  </r>
  <r>
    <x v="0"/>
    <s v="01164"/>
    <s v="สอ.ต.เกาะเรียน"/>
    <n v="1424"/>
    <n v="809"/>
    <n v="225"/>
    <n v="22"/>
    <n v="33"/>
    <n v="1"/>
    <n v="2514"/>
    <x v="2"/>
  </r>
  <r>
    <x v="0"/>
    <s v="01165"/>
    <s v="สอ.ต.บ้านป้อม"/>
    <n v="4058"/>
    <n v="1728"/>
    <n v="774"/>
    <n v="78"/>
    <n v="92"/>
    <n v="2"/>
    <n v="6732"/>
    <x v="1"/>
  </r>
  <r>
    <x v="0"/>
    <s v="01166"/>
    <s v="สอ.ต.บ้านรุน"/>
    <n v="839"/>
    <n v="415"/>
    <n v="100"/>
    <n v="10"/>
    <n v="17"/>
    <n v="1"/>
    <n v="1382"/>
    <x v="2"/>
  </r>
  <r>
    <x v="1"/>
    <s v="01304"/>
    <s v="สอ.ต.บ้านแพน"/>
    <n v="1885"/>
    <n v="828"/>
    <n v="225"/>
    <n v="43"/>
    <n v="25"/>
    <n v="4"/>
    <n v="3010"/>
    <x v="1"/>
  </r>
  <r>
    <x v="1"/>
    <s v="01305"/>
    <s v="สอ.ต.เจ้าเจ็ด"/>
    <n v="2624"/>
    <n v="1018"/>
    <n v="471"/>
    <n v="114"/>
    <n v="67"/>
    <n v="3"/>
    <n v="4297"/>
    <x v="1"/>
  </r>
  <r>
    <x v="1"/>
    <s v="01306"/>
    <s v="สอ.ต.สามกอ"/>
    <n v="4297"/>
    <n v="1506"/>
    <n v="458"/>
    <n v="99"/>
    <n v="52"/>
    <n v="4"/>
    <n v="6416"/>
    <x v="1"/>
  </r>
  <r>
    <x v="1"/>
    <s v="01308"/>
    <s v="สอ.ต.หัวเวียง"/>
    <n v="2097"/>
    <n v="1145"/>
    <n v="319"/>
    <n v="82"/>
    <n v="55"/>
    <n v="2"/>
    <n v="3700"/>
    <x v="1"/>
  </r>
  <r>
    <x v="1"/>
    <s v="01309"/>
    <s v="สอ.ต.มารวิชัย"/>
    <n v="1970"/>
    <n v="547"/>
    <n v="117"/>
    <n v="16"/>
    <n v="16"/>
    <n v="1"/>
    <n v="2667"/>
    <x v="2"/>
  </r>
  <r>
    <x v="1"/>
    <s v="01310"/>
    <s v="สอ.ต.บ้านโพธิ์"/>
    <n v="2248"/>
    <n v="881"/>
    <n v="263"/>
    <n v="45"/>
    <n v="42"/>
    <n v="1"/>
    <n v="3480"/>
    <x v="1"/>
  </r>
  <r>
    <x v="1"/>
    <s v="01311"/>
    <s v="สอ.ต.รางจรเข้"/>
    <n v="1642"/>
    <n v="745"/>
    <n v="163"/>
    <n v="23"/>
    <n v="30"/>
    <n v="0"/>
    <n v="2603"/>
    <x v="2"/>
  </r>
  <r>
    <x v="1"/>
    <s v="01312"/>
    <s v="สอ.ต.บ้านกระทุ่ม"/>
    <n v="1163"/>
    <n v="567"/>
    <n v="174"/>
    <n v="16"/>
    <n v="30"/>
    <n v="0"/>
    <n v="1950"/>
    <x v="2"/>
  </r>
  <r>
    <x v="1"/>
    <s v="01313"/>
    <s v="สอ.ต.บ้านแถว"/>
    <n v="2770"/>
    <n v="1002"/>
    <n v="198"/>
    <n v="46"/>
    <n v="30"/>
    <n v="1"/>
    <n v="4047"/>
    <x v="1"/>
  </r>
  <r>
    <x v="1"/>
    <s v="01314"/>
    <s v="สอ.ต.ชายนา"/>
    <n v="3297"/>
    <n v="994"/>
    <n v="233"/>
    <n v="30"/>
    <n v="48"/>
    <n v="2"/>
    <n v="4604"/>
    <x v="1"/>
  </r>
  <r>
    <x v="1"/>
    <s v="01315"/>
    <s v="สอ.ต.สามตุ่ม"/>
    <n v="3326"/>
    <n v="1187"/>
    <n v="208"/>
    <n v="39"/>
    <n v="28"/>
    <n v="1"/>
    <n v="4789"/>
    <x v="1"/>
  </r>
  <r>
    <x v="1"/>
    <s v="01316"/>
    <s v="สอ.ต.ลาดงา"/>
    <n v="2068"/>
    <n v="963"/>
    <n v="157"/>
    <n v="19"/>
    <n v="18"/>
    <n v="4"/>
    <n v="3229"/>
    <x v="1"/>
  </r>
  <r>
    <x v="1"/>
    <s v="01317"/>
    <s v="สอ.ต.ดอนทอง"/>
    <n v="1764"/>
    <n v="623"/>
    <n v="109"/>
    <n v="34"/>
    <n v="13"/>
    <n v="0"/>
    <n v="2543"/>
    <x v="2"/>
  </r>
  <r>
    <x v="1"/>
    <s v="01318"/>
    <s v="สอ.ต.บ้านหลวง"/>
    <n v="1756"/>
    <n v="745"/>
    <n v="111"/>
    <n v="23"/>
    <n v="17"/>
    <n v="2"/>
    <n v="2654"/>
    <x v="2"/>
  </r>
  <r>
    <x v="1"/>
    <s v="01319"/>
    <s v="สอ.ต.เจ้าเสด็จ"/>
    <n v="1634"/>
    <n v="759"/>
    <n v="175"/>
    <n v="73"/>
    <n v="52"/>
    <n v="0"/>
    <n v="2693"/>
    <x v="2"/>
  </r>
  <r>
    <x v="2"/>
    <s v="01167"/>
    <s v="สอ.ต.จำปา"/>
    <n v="1703"/>
    <n v="814"/>
    <n v="147"/>
    <n v="19"/>
    <n v="28"/>
    <n v="2"/>
    <n v="2713"/>
    <x v="2"/>
  </r>
  <r>
    <x v="2"/>
    <s v="01168"/>
    <s v="สอ.ต.ท่าหลวง"/>
    <n v="1933"/>
    <n v="969"/>
    <n v="231"/>
    <n v="29"/>
    <n v="45"/>
    <n v="1"/>
    <n v="3208"/>
    <x v="1"/>
  </r>
  <r>
    <x v="2"/>
    <s v="01169"/>
    <s v="สอ.บ้านดอนประดู่"/>
    <n v="871"/>
    <n v="393"/>
    <n v="97"/>
    <n v="18"/>
    <n v="14"/>
    <n v="2"/>
    <n v="1395"/>
    <x v="2"/>
  </r>
  <r>
    <x v="2"/>
    <s v="01170"/>
    <s v="สอ.ต.บ้านร่อม"/>
    <n v="1027"/>
    <n v="440"/>
    <n v="73"/>
    <n v="10"/>
    <n v="15"/>
    <n v="0"/>
    <n v="1565"/>
    <x v="2"/>
  </r>
  <r>
    <x v="2"/>
    <s v="01171"/>
    <s v="สอ.ต.ศาลาลอย"/>
    <n v="1332"/>
    <n v="687"/>
    <n v="120"/>
    <n v="16"/>
    <n v="23"/>
    <n v="2"/>
    <n v="2180"/>
    <x v="2"/>
  </r>
  <r>
    <x v="2"/>
    <s v="01172"/>
    <s v="สอ.บ้านศาลาลอย"/>
    <n v="1398"/>
    <n v="750"/>
    <n v="117"/>
    <n v="30"/>
    <n v="21"/>
    <n v="2"/>
    <n v="2318"/>
    <x v="2"/>
  </r>
  <r>
    <x v="2"/>
    <s v="01173"/>
    <s v="สอ.ต.วังแดง"/>
    <n v="1891"/>
    <n v="870"/>
    <n v="224"/>
    <n v="17"/>
    <n v="49"/>
    <n v="0"/>
    <n v="3051"/>
    <x v="1"/>
  </r>
  <r>
    <x v="2"/>
    <s v="01174"/>
    <s v="สอ.ต.โพธิ์เอน"/>
    <n v="852"/>
    <n v="501"/>
    <n v="84"/>
    <n v="24"/>
    <n v="17"/>
    <n v="1"/>
    <n v="1479"/>
    <x v="2"/>
  </r>
  <r>
    <x v="2"/>
    <s v="01175"/>
    <s v="สอ.ต.โพธิ์เอน 4"/>
    <n v="1022"/>
    <n v="486"/>
    <n v="72"/>
    <n v="17"/>
    <n v="12"/>
    <n v="2"/>
    <n v="1611"/>
    <x v="2"/>
  </r>
  <r>
    <x v="2"/>
    <s v="01176"/>
    <s v="สอ.ต.ปากท่า"/>
    <n v="1603"/>
    <n v="882"/>
    <n v="207"/>
    <n v="28"/>
    <n v="28"/>
    <n v="0"/>
    <n v="2748"/>
    <x v="2"/>
  </r>
  <r>
    <x v="2"/>
    <s v="01177"/>
    <s v="สอ.ต.หนองขนาก"/>
    <n v="2420"/>
    <n v="1356"/>
    <n v="349"/>
    <n v="37"/>
    <n v="56"/>
    <n v="2"/>
    <n v="4220"/>
    <x v="1"/>
  </r>
  <r>
    <x v="2"/>
    <s v="01178"/>
    <s v="สอ.ต.ท่าเจ้าสนุก"/>
    <n v="2169"/>
    <n v="1043"/>
    <n v="270"/>
    <n v="50"/>
    <n v="47"/>
    <n v="3"/>
    <n v="3582"/>
    <x v="1"/>
  </r>
  <r>
    <x v="3"/>
    <s v="01179"/>
    <s v="สอ.เฉลิมพระเกียรติ 60 พรรษา นวมินทราชินี"/>
    <n v="2622"/>
    <n v="0"/>
    <n v="1"/>
    <n v="0"/>
    <n v="0"/>
    <n v="0"/>
    <n v="2623"/>
    <x v="2"/>
  </r>
  <r>
    <x v="3"/>
    <s v="01180"/>
    <s v="สอ.ต.ท่าช้าง"/>
    <n v="2844"/>
    <n v="1117"/>
    <n v="299"/>
    <n v="69"/>
    <n v="54"/>
    <n v="2"/>
    <n v="4385"/>
    <x v="1"/>
  </r>
  <r>
    <x v="3"/>
    <s v="01181"/>
    <s v="สอ.ต.บ่อโพง"/>
    <n v="3810"/>
    <n v="1298"/>
    <n v="460"/>
    <n v="28"/>
    <n v="56"/>
    <n v="2"/>
    <n v="5654"/>
    <x v="1"/>
  </r>
  <r>
    <x v="3"/>
    <s v="01182"/>
    <s v="สอ.ต.บ้านชุ้ง"/>
    <n v="2225"/>
    <n v="1033"/>
    <n v="248"/>
    <n v="17"/>
    <n v="32"/>
    <n v="2"/>
    <n v="3557"/>
    <x v="1"/>
  </r>
  <r>
    <x v="3"/>
    <s v="01183"/>
    <s v="สอ.ต.ปากจั่น"/>
    <n v="2213"/>
    <n v="1004"/>
    <n v="165"/>
    <n v="36"/>
    <n v="30"/>
    <n v="1"/>
    <n v="3449"/>
    <x v="1"/>
  </r>
  <r>
    <x v="3"/>
    <s v="01184"/>
    <s v="สอ.ต.บางระกำ"/>
    <n v="1738"/>
    <n v="836"/>
    <n v="226"/>
    <n v="38"/>
    <n v="38"/>
    <n v="1"/>
    <n v="2877"/>
    <x v="2"/>
  </r>
  <r>
    <x v="3"/>
    <s v="01185"/>
    <s v="สอ.ต.บางพระครู"/>
    <n v="1322"/>
    <n v="658"/>
    <n v="125"/>
    <n v="18"/>
    <n v="23"/>
    <n v="1"/>
    <n v="2147"/>
    <x v="2"/>
  </r>
  <r>
    <x v="3"/>
    <s v="01186"/>
    <s v="สอ.ต.แม่ลา"/>
    <n v="1071"/>
    <n v="517"/>
    <n v="197"/>
    <n v="17"/>
    <n v="16"/>
    <n v="0"/>
    <n v="1818"/>
    <x v="2"/>
  </r>
  <r>
    <x v="3"/>
    <s v="01187"/>
    <s v="สอ.ต.หนองปลิง"/>
    <n v="1314"/>
    <n v="616"/>
    <n v="120"/>
    <n v="9"/>
    <n v="12"/>
    <n v="0"/>
    <n v="2071"/>
    <x v="2"/>
  </r>
  <r>
    <x v="3"/>
    <s v="01188"/>
    <s v="สอ.ต.คลองสะแก"/>
    <n v="1345"/>
    <n v="769"/>
    <n v="144"/>
    <n v="13"/>
    <n v="24"/>
    <n v="0"/>
    <n v="2295"/>
    <x v="2"/>
  </r>
  <r>
    <x v="3"/>
    <s v="01189"/>
    <s v="สอ.ต.สามไถ"/>
    <n v="777"/>
    <n v="358"/>
    <n v="75"/>
    <n v="20"/>
    <n v="18"/>
    <n v="2"/>
    <n v="1250"/>
    <x v="2"/>
  </r>
  <r>
    <x v="3"/>
    <s v="01190"/>
    <s v="สอ.ต.พระนอน"/>
    <n v="1181"/>
    <n v="581"/>
    <n v="171"/>
    <n v="10"/>
    <n v="22"/>
    <n v="0"/>
    <n v="1965"/>
    <x v="2"/>
  </r>
  <r>
    <x v="4"/>
    <s v="01191"/>
    <s v="สอ.ต.บางพลี"/>
    <n v="1799"/>
    <n v="609"/>
    <n v="88"/>
    <n v="8"/>
    <n v="21"/>
    <n v="1"/>
    <n v="2526"/>
    <x v="2"/>
  </r>
  <r>
    <x v="4"/>
    <s v="01192"/>
    <s v="สอ.ต.สนามไชย"/>
    <n v="1517"/>
    <n v="854"/>
    <n v="140"/>
    <n v="22"/>
    <n v="25"/>
    <n v="1"/>
    <n v="2559"/>
    <x v="2"/>
  </r>
  <r>
    <x v="4"/>
    <s v="01193"/>
    <s v="สอ.ต.บ้านแป้ง"/>
    <n v="436"/>
    <n v="236"/>
    <n v="79"/>
    <n v="16"/>
    <n v="14"/>
    <n v="0"/>
    <n v="781"/>
    <x v="2"/>
  </r>
  <r>
    <x v="4"/>
    <s v="01194"/>
    <s v="สอ.ต.หน้าไม้"/>
    <n v="539"/>
    <n v="217"/>
    <n v="80"/>
    <n v="12"/>
    <n v="12"/>
    <n v="0"/>
    <n v="860"/>
    <x v="2"/>
  </r>
  <r>
    <x v="4"/>
    <s v="01195"/>
    <s v="สอ.ต.บางยี่โท"/>
    <n v="812"/>
    <n v="448"/>
    <n v="127"/>
    <n v="19"/>
    <n v="30"/>
    <n v="0"/>
    <n v="1436"/>
    <x v="2"/>
  </r>
  <r>
    <x v="4"/>
    <s v="01196"/>
    <s v="สอ.ต.แคออก"/>
    <n v="481"/>
    <n v="292"/>
    <n v="63"/>
    <n v="15"/>
    <n v="11"/>
    <n v="1"/>
    <n v="863"/>
    <x v="2"/>
  </r>
  <r>
    <x v="4"/>
    <s v="01197"/>
    <s v="สอ.ต.แคตก"/>
    <n v="711"/>
    <n v="315"/>
    <n v="73"/>
    <n v="5"/>
    <n v="14"/>
    <n v="0"/>
    <n v="1118"/>
    <x v="2"/>
  </r>
  <r>
    <x v="4"/>
    <s v="01198"/>
    <s v="สอ.ต.ช่างเหล็ก"/>
    <n v="837"/>
    <n v="466"/>
    <n v="77"/>
    <n v="5"/>
    <n v="15"/>
    <n v="1"/>
    <n v="1401"/>
    <x v="2"/>
  </r>
  <r>
    <x v="4"/>
    <s v="01199"/>
    <s v="สอ.ต.กระแชง"/>
    <n v="996"/>
    <n v="415"/>
    <n v="111"/>
    <n v="22"/>
    <n v="19"/>
    <n v="1"/>
    <n v="1564"/>
    <x v="2"/>
  </r>
  <r>
    <x v="4"/>
    <s v="01200"/>
    <s v="สอ.ต.บ้านกลึง"/>
    <n v="1262"/>
    <n v="537"/>
    <n v="110"/>
    <n v="19"/>
    <n v="22"/>
    <n v="1"/>
    <n v="1951"/>
    <x v="2"/>
  </r>
  <r>
    <x v="4"/>
    <s v="01201"/>
    <s v="สอ.ต.ช้างน้อย"/>
    <n v="750"/>
    <n v="275"/>
    <n v="54"/>
    <n v="9"/>
    <n v="7"/>
    <n v="1"/>
    <n v="1096"/>
    <x v="2"/>
  </r>
  <r>
    <x v="4"/>
    <s v="01202"/>
    <s v="สอ.ต.ห่อหมก"/>
    <n v="1057"/>
    <n v="555"/>
    <n v="84"/>
    <n v="15"/>
    <n v="22"/>
    <n v="0"/>
    <n v="1733"/>
    <x v="2"/>
  </r>
  <r>
    <x v="4"/>
    <s v="01203"/>
    <s v="สอ.ต.ไผ่พระ"/>
    <n v="1397"/>
    <n v="569"/>
    <n v="62"/>
    <n v="0"/>
    <n v="10"/>
    <n v="1"/>
    <n v="2039"/>
    <x v="2"/>
  </r>
  <r>
    <x v="4"/>
    <s v="01204"/>
    <s v="สอ.ต.กกแก้วบูรพา"/>
    <n v="1485"/>
    <n v="465"/>
    <n v="66"/>
    <n v="2"/>
    <n v="13"/>
    <n v="0"/>
    <n v="2031"/>
    <x v="2"/>
  </r>
  <r>
    <x v="4"/>
    <s v="01205"/>
    <s v="สอ.ต.ไม้ตรา"/>
    <n v="2840"/>
    <n v="1211"/>
    <n v="335"/>
    <n v="23"/>
    <n v="75"/>
    <n v="3"/>
    <n v="4487"/>
    <x v="1"/>
  </r>
  <r>
    <x v="4"/>
    <s v="01206"/>
    <s v="สอ.ต.บ้านม้า"/>
    <n v="1827"/>
    <n v="850"/>
    <n v="336"/>
    <n v="19"/>
    <n v="55"/>
    <n v="2"/>
    <n v="3089"/>
    <x v="1"/>
  </r>
  <r>
    <x v="4"/>
    <s v="01207"/>
    <s v="สอ.ต.บ้านเกาะ"/>
    <n v="877"/>
    <n v="384"/>
    <n v="91"/>
    <n v="8"/>
    <n v="10"/>
    <n v="1"/>
    <n v="1371"/>
    <x v="2"/>
  </r>
  <r>
    <x v="4"/>
    <s v="01208"/>
    <s v="สอ.ต.ราชคราม"/>
    <n v="1224"/>
    <n v="782"/>
    <n v="62"/>
    <n v="26"/>
    <n v="19"/>
    <n v="0"/>
    <n v="2113"/>
    <x v="2"/>
  </r>
  <r>
    <x v="4"/>
    <s v="01209"/>
    <s v="สอ.ต.ช้างใหญ่"/>
    <n v="1403"/>
    <n v="248"/>
    <n v="30"/>
    <n v="17"/>
    <n v="10"/>
    <n v="0"/>
    <n v="1708"/>
    <x v="2"/>
  </r>
  <r>
    <x v="4"/>
    <s v="01210"/>
    <s v="สอ.คัคณางค์"/>
    <n v="1539"/>
    <n v="1227"/>
    <n v="260"/>
    <n v="63"/>
    <n v="54"/>
    <n v="0"/>
    <n v="3143"/>
    <x v="1"/>
  </r>
  <r>
    <x v="4"/>
    <s v="01211"/>
    <s v="สอ.ต.โพธิ์แตง"/>
    <n v="731"/>
    <n v="485"/>
    <n v="128"/>
    <n v="9"/>
    <n v="19"/>
    <n v="0"/>
    <n v="1372"/>
    <x v="2"/>
  </r>
  <r>
    <x v="4"/>
    <s v="01212"/>
    <s v="สอ.ต.เชียงรากน้อย"/>
    <n v="856"/>
    <n v="522"/>
    <n v="90"/>
    <n v="11"/>
    <n v="25"/>
    <n v="0"/>
    <n v="1504"/>
    <x v="2"/>
  </r>
  <r>
    <x v="4"/>
    <s v="01213"/>
    <s v="สอ.ต.โคกช้าง"/>
    <n v="1516"/>
    <n v="623"/>
    <n v="215"/>
    <n v="21"/>
    <n v="16"/>
    <n v="2"/>
    <n v="2393"/>
    <x v="2"/>
  </r>
  <r>
    <x v="5"/>
    <s v="01214"/>
    <s v="สอ.ต.บางบาล"/>
    <n v="528"/>
    <n v="298"/>
    <n v="138"/>
    <n v="11"/>
    <n v="19"/>
    <n v="1"/>
    <n v="995"/>
    <x v="2"/>
  </r>
  <r>
    <x v="5"/>
    <s v="01215"/>
    <s v="สอ.ต.วัดยม"/>
    <n v="1058"/>
    <n v="390"/>
    <n v="183"/>
    <n v="6"/>
    <n v="21"/>
    <n v="1"/>
    <n v="1659"/>
    <x v="2"/>
  </r>
  <r>
    <x v="5"/>
    <s v="01216"/>
    <s v="สอ.ต.ไทรน้อย"/>
    <n v="1569"/>
    <n v="558"/>
    <n v="368"/>
    <n v="27"/>
    <n v="45"/>
    <n v="0"/>
    <n v="2567"/>
    <x v="2"/>
  </r>
  <r>
    <x v="5"/>
    <s v="01217"/>
    <s v="สอ.ต.มหาพราหมณ์"/>
    <n v="3155"/>
    <n v="1089"/>
    <n v="447"/>
    <n v="61"/>
    <n v="57"/>
    <n v="1"/>
    <n v="4810"/>
    <x v="1"/>
  </r>
  <r>
    <x v="5"/>
    <s v="01218"/>
    <s v="สอ.ต.กบเจา"/>
    <n v="1414"/>
    <n v="573"/>
    <n v="304"/>
    <n v="16"/>
    <n v="33"/>
    <n v="0"/>
    <n v="2340"/>
    <x v="2"/>
  </r>
  <r>
    <x v="5"/>
    <s v="01219"/>
    <s v="สอ.ต.บ้านคลัง"/>
    <n v="1179"/>
    <n v="607"/>
    <n v="142"/>
    <n v="18"/>
    <n v="15"/>
    <n v="3"/>
    <n v="1964"/>
    <x v="2"/>
  </r>
  <r>
    <x v="5"/>
    <s v="01220"/>
    <s v="สอ.ต.พระขาว"/>
    <n v="2518"/>
    <n v="989"/>
    <n v="332"/>
    <n v="42"/>
    <n v="53"/>
    <n v="4"/>
    <n v="3938"/>
    <x v="1"/>
  </r>
  <r>
    <x v="5"/>
    <s v="01221"/>
    <s v="สอ.ต.น้ำเต้า"/>
    <n v="1357"/>
    <n v="637"/>
    <n v="153"/>
    <n v="21"/>
    <n v="35"/>
    <n v="0"/>
    <n v="2203"/>
    <x v="2"/>
  </r>
  <r>
    <x v="5"/>
    <s v="01222"/>
    <s v="สอ.ต.ทางช้าง"/>
    <n v="585"/>
    <n v="277"/>
    <n v="101"/>
    <n v="12"/>
    <n v="12"/>
    <n v="0"/>
    <n v="987"/>
    <x v="2"/>
  </r>
  <r>
    <x v="5"/>
    <s v="01223"/>
    <s v="สอ.ต.วัดตะกู"/>
    <n v="821"/>
    <n v="415"/>
    <n v="164"/>
    <n v="4"/>
    <n v="16"/>
    <n v="0"/>
    <n v="1420"/>
    <x v="2"/>
  </r>
  <r>
    <x v="5"/>
    <s v="01224"/>
    <s v="สอ.ต.บางหลวง"/>
    <n v="468"/>
    <n v="237"/>
    <n v="119"/>
    <n v="7"/>
    <n v="21"/>
    <n v="0"/>
    <n v="852"/>
    <x v="2"/>
  </r>
  <r>
    <x v="5"/>
    <s v="01225"/>
    <s v="สอ.ต.บางหลวงโดด"/>
    <n v="371"/>
    <n v="194"/>
    <n v="70"/>
    <n v="12"/>
    <n v="5"/>
    <n v="0"/>
    <n v="652"/>
    <x v="2"/>
  </r>
  <r>
    <x v="5"/>
    <s v="01226"/>
    <s v="สอ.ต.บางหัก"/>
    <n v="696"/>
    <n v="387"/>
    <n v="121"/>
    <n v="13"/>
    <n v="25"/>
    <n v="0"/>
    <n v="1242"/>
    <x v="2"/>
  </r>
  <r>
    <x v="5"/>
    <s v="01227"/>
    <s v="สอ.ต.บางชะนี"/>
    <n v="1021"/>
    <n v="489"/>
    <n v="196"/>
    <n v="16"/>
    <n v="25"/>
    <n v="0"/>
    <n v="1747"/>
    <x v="2"/>
  </r>
  <r>
    <x v="5"/>
    <s v="01228"/>
    <s v="สอ.ต.บ้านกุ่ม"/>
    <n v="2092"/>
    <n v="934"/>
    <n v="443"/>
    <n v="18"/>
    <n v="49"/>
    <n v="1"/>
    <n v="3537"/>
    <x v="1"/>
  </r>
  <r>
    <x v="6"/>
    <s v="01229"/>
    <s v="สอ.คลองเปรม"/>
    <n v="2026"/>
    <n v="0"/>
    <n v="0"/>
    <n v="0"/>
    <n v="3"/>
    <n v="0"/>
    <n v="2029"/>
    <x v="2"/>
  </r>
  <r>
    <x v="6"/>
    <s v="01230"/>
    <s v="สอ.ต.เชียงรากน้อย"/>
    <n v="9921"/>
    <n v="4730"/>
    <n v="869"/>
    <n v="148"/>
    <n v="214"/>
    <n v="11"/>
    <n v="15893"/>
    <x v="0"/>
  </r>
  <r>
    <x v="6"/>
    <s v="01231"/>
    <s v="สอ.ต.บ้านโพ"/>
    <n v="1580"/>
    <n v="943"/>
    <n v="268"/>
    <n v="22"/>
    <n v="53"/>
    <n v="0"/>
    <n v="2866"/>
    <x v="2"/>
  </r>
  <r>
    <x v="6"/>
    <s v="01232"/>
    <s v="สอ.ต.บ้านกรด"/>
    <n v="2717"/>
    <n v="62"/>
    <n v="7"/>
    <n v="4"/>
    <n v="2"/>
    <n v="0"/>
    <n v="2792"/>
    <x v="2"/>
  </r>
  <r>
    <x v="6"/>
    <s v="01233"/>
    <s v="สอ.ขนอนเหนือ"/>
    <n v="1148"/>
    <n v="1850"/>
    <n v="472"/>
    <n v="60"/>
    <n v="70"/>
    <n v="4"/>
    <n v="3604"/>
    <x v="1"/>
  </r>
  <r>
    <x v="6"/>
    <s v="01234"/>
    <s v="สอ.ต.บางกระสั้น"/>
    <n v="6991"/>
    <n v="3334"/>
    <n v="583"/>
    <n v="82"/>
    <n v="118"/>
    <n v="6"/>
    <n v="11114"/>
    <x v="0"/>
  </r>
  <r>
    <x v="6"/>
    <s v="01235"/>
    <s v="สอ.ต.คลองจิก"/>
    <n v="4091"/>
    <n v="2701"/>
    <n v="406"/>
    <n v="49"/>
    <n v="87"/>
    <n v="2"/>
    <n v="7336"/>
    <x v="1"/>
  </r>
  <r>
    <x v="6"/>
    <s v="01236"/>
    <s v="สอ.ต.บ้านหว้า"/>
    <n v="1293"/>
    <n v="803"/>
    <n v="196"/>
    <n v="13"/>
    <n v="33"/>
    <n v="3"/>
    <n v="2341"/>
    <x v="2"/>
  </r>
  <r>
    <x v="6"/>
    <s v="01237"/>
    <s v="สอ.ต.วัดยม"/>
    <n v="1649"/>
    <n v="808"/>
    <n v="220"/>
    <n v="14"/>
    <n v="31"/>
    <n v="1"/>
    <n v="2723"/>
    <x v="2"/>
  </r>
  <r>
    <x v="6"/>
    <s v="01238"/>
    <s v="สอ.ต.บางประแดง"/>
    <n v="1243"/>
    <n v="576"/>
    <n v="158"/>
    <n v="22"/>
    <n v="21"/>
    <n v="0"/>
    <n v="2020"/>
    <x v="2"/>
  </r>
  <r>
    <x v="6"/>
    <s v="01239"/>
    <s v="สอ.ต.สามเรือน"/>
    <n v="2184"/>
    <n v="121"/>
    <n v="14"/>
    <n v="8"/>
    <n v="5"/>
    <n v="0"/>
    <n v="2332"/>
    <x v="2"/>
  </r>
  <r>
    <x v="6"/>
    <s v="01240"/>
    <s v="สอ.ต.เกาะเกิด"/>
    <n v="1161"/>
    <n v="712"/>
    <n v="109"/>
    <n v="15"/>
    <n v="20"/>
    <n v="0"/>
    <n v="2017"/>
    <x v="2"/>
  </r>
  <r>
    <x v="6"/>
    <s v="01241"/>
    <s v="สอ.ต.บ้านพลับ"/>
    <n v="1501"/>
    <n v="596"/>
    <n v="45"/>
    <n v="20"/>
    <n v="12"/>
    <n v="0"/>
    <n v="2174"/>
    <x v="2"/>
  </r>
  <r>
    <x v="6"/>
    <s v="01242"/>
    <s v="สอ.ต.บ้านแป้ง 2"/>
    <n v="809"/>
    <n v="144"/>
    <n v="44"/>
    <n v="4"/>
    <n v="7"/>
    <n v="0"/>
    <n v="1008"/>
    <x v="2"/>
  </r>
  <r>
    <x v="6"/>
    <s v="01243"/>
    <s v="สอ.ต.บ้านแป้ง 1"/>
    <n v="420"/>
    <n v="508"/>
    <n v="100"/>
    <n v="9"/>
    <n v="19"/>
    <n v="1"/>
    <n v="1057"/>
    <x v="2"/>
  </r>
  <r>
    <x v="6"/>
    <s v="01244"/>
    <s v="สอ.ต.คุ้งลาน"/>
    <n v="1525"/>
    <n v="668"/>
    <n v="121"/>
    <n v="17"/>
    <n v="34"/>
    <n v="0"/>
    <n v="2365"/>
    <x v="2"/>
  </r>
  <r>
    <x v="6"/>
    <s v="01245"/>
    <s v="สอ.ต.ตลิ่งชัน"/>
    <n v="790"/>
    <n v="433"/>
    <n v="146"/>
    <n v="7"/>
    <n v="24"/>
    <n v="2"/>
    <n v="1402"/>
    <x v="2"/>
  </r>
  <r>
    <x v="6"/>
    <s v="01246"/>
    <s v="สอ.บ้านลานเท"/>
    <n v="5983"/>
    <n v="1541"/>
    <n v="277"/>
    <n v="66"/>
    <n v="48"/>
    <n v="3"/>
    <n v="7918"/>
    <x v="1"/>
  </r>
  <r>
    <x v="6"/>
    <s v="01247"/>
    <s v="สอ.ต.ตลาดเกรียบ"/>
    <n v="1656"/>
    <n v="751"/>
    <n v="243"/>
    <n v="30"/>
    <n v="44"/>
    <n v="4"/>
    <n v="2728"/>
    <x v="2"/>
  </r>
  <r>
    <x v="6"/>
    <s v="01248"/>
    <s v="สอ.ต.ขนอนหลวง"/>
    <n v="932"/>
    <n v="516"/>
    <n v="133"/>
    <n v="7"/>
    <n v="14"/>
    <n v="0"/>
    <n v="1602"/>
    <x v="2"/>
  </r>
  <r>
    <x v="7"/>
    <s v="01249"/>
    <s v="สอ.อำเภอบางปะหัน"/>
    <n v="2216"/>
    <n v="850"/>
    <n v="364"/>
    <n v="58"/>
    <n v="48"/>
    <n v="3"/>
    <n v="3539"/>
    <x v="1"/>
  </r>
  <r>
    <x v="7"/>
    <s v="01250"/>
    <s v="สอ.ต.ขยาย"/>
    <n v="1003"/>
    <n v="501"/>
    <n v="148"/>
    <n v="3"/>
    <n v="16"/>
    <n v="1"/>
    <n v="1672"/>
    <x v="2"/>
  </r>
  <r>
    <x v="7"/>
    <s v="01251"/>
    <s v="สอ.ต.บางเดื่อ"/>
    <n v="2038"/>
    <n v="729"/>
    <n v="182"/>
    <n v="26"/>
    <n v="21"/>
    <n v="2"/>
    <n v="2998"/>
    <x v="2"/>
  </r>
  <r>
    <x v="7"/>
    <s v="01252"/>
    <s v="สอ.ต.เสาธง"/>
    <n v="1341"/>
    <n v="594"/>
    <n v="239"/>
    <n v="14"/>
    <n v="31"/>
    <n v="0"/>
    <n v="2219"/>
    <x v="2"/>
  </r>
  <r>
    <x v="7"/>
    <s v="01253"/>
    <s v="สอ.ต.ทางกลาง"/>
    <n v="1180"/>
    <n v="543"/>
    <n v="172"/>
    <n v="16"/>
    <n v="35"/>
    <n v="1"/>
    <n v="1947"/>
    <x v="2"/>
  </r>
  <r>
    <x v="7"/>
    <s v="01254"/>
    <s v="สอ.ต.บางเพลิง"/>
    <n v="862"/>
    <n v="432"/>
    <n v="75"/>
    <n v="15"/>
    <n v="12"/>
    <n v="1"/>
    <n v="1397"/>
    <x v="2"/>
  </r>
  <r>
    <x v="7"/>
    <s v="01255"/>
    <s v="สอ.ต.หันสัง"/>
    <n v="2295"/>
    <n v="966"/>
    <n v="254"/>
    <n v="18"/>
    <n v="42"/>
    <n v="0"/>
    <n v="3575"/>
    <x v="1"/>
  </r>
  <r>
    <x v="7"/>
    <s v="01256"/>
    <s v="สอ.ต.ตานิม"/>
    <n v="1119"/>
    <n v="424"/>
    <n v="128"/>
    <n v="13"/>
    <n v="18"/>
    <n v="0"/>
    <n v="1702"/>
    <x v="2"/>
  </r>
  <r>
    <x v="7"/>
    <s v="01257"/>
    <s v="สอ.ต.ทับน้ำ"/>
    <n v="1956"/>
    <n v="759"/>
    <n v="193"/>
    <n v="13"/>
    <n v="27"/>
    <n v="1"/>
    <n v="2949"/>
    <x v="2"/>
  </r>
  <r>
    <x v="7"/>
    <s v="01258"/>
    <s v="สอ.ต.บ้านม้า"/>
    <n v="980"/>
    <n v="447"/>
    <n v="77"/>
    <n v="8"/>
    <n v="11"/>
    <n v="0"/>
    <n v="1523"/>
    <x v="2"/>
  </r>
  <r>
    <x v="7"/>
    <s v="01259"/>
    <s v="สอ.ต.ขวัญเมือง"/>
    <n v="1705"/>
    <n v="720"/>
    <n v="404"/>
    <n v="38"/>
    <n v="44"/>
    <n v="1"/>
    <n v="2912"/>
    <x v="2"/>
  </r>
  <r>
    <x v="7"/>
    <s v="01260"/>
    <s v="สอ.ต.บ้านลี่"/>
    <n v="1322"/>
    <n v="840"/>
    <n v="234"/>
    <n v="25"/>
    <n v="35"/>
    <n v="0"/>
    <n v="2456"/>
    <x v="2"/>
  </r>
  <r>
    <x v="7"/>
    <s v="01261"/>
    <s v="สอ.ต.โพธิ์สามต้น"/>
    <n v="2251"/>
    <n v="840"/>
    <n v="234"/>
    <n v="25"/>
    <n v="35"/>
    <n v="0"/>
    <n v="3385"/>
    <x v="1"/>
  </r>
  <r>
    <x v="7"/>
    <s v="01262"/>
    <s v="สอ.ต.พุทเลา"/>
    <n v="1539"/>
    <n v="783"/>
    <n v="249"/>
    <n v="38"/>
    <n v="49"/>
    <n v="1"/>
    <n v="2659"/>
    <x v="2"/>
  </r>
  <r>
    <x v="7"/>
    <s v="01263"/>
    <s v="สอ.ต.ตาลเอน"/>
    <n v="579"/>
    <n v="261"/>
    <n v="61"/>
    <n v="2"/>
    <n v="13"/>
    <n v="0"/>
    <n v="916"/>
    <x v="2"/>
  </r>
  <r>
    <x v="7"/>
    <s v="01264"/>
    <s v="สอ.ต.บ้านขล้อ"/>
    <n v="1292"/>
    <n v="605"/>
    <n v="143"/>
    <n v="17"/>
    <n v="20"/>
    <n v="0"/>
    <n v="2077"/>
    <x v="2"/>
  </r>
  <r>
    <x v="8"/>
    <s v="01265"/>
    <s v="สอ.ต.ผักไห่(วัดราษฎร์นิยม)"/>
    <n v="2358"/>
    <n v="797"/>
    <n v="376"/>
    <n v="21"/>
    <n v="52"/>
    <n v="0"/>
    <n v="3604"/>
    <x v="1"/>
  </r>
  <r>
    <x v="8"/>
    <s v="01266"/>
    <s v="สอ.ต.อมฤต"/>
    <n v="1258"/>
    <n v="451"/>
    <n v="208"/>
    <n v="28"/>
    <n v="28"/>
    <n v="0"/>
    <n v="1973"/>
    <x v="2"/>
  </r>
  <r>
    <x v="8"/>
    <s v="01267"/>
    <s v="สอ.ต.บ้านแค"/>
    <n v="1835"/>
    <n v="751"/>
    <n v="241"/>
    <n v="25"/>
    <n v="34"/>
    <n v="3"/>
    <n v="2889"/>
    <x v="2"/>
  </r>
  <r>
    <x v="8"/>
    <s v="01268"/>
    <s v="สอ.ต.ลาดน้ำเค็ม"/>
    <n v="1253"/>
    <n v="559"/>
    <n v="137"/>
    <n v="23"/>
    <n v="31"/>
    <n v="0"/>
    <n v="2003"/>
    <x v="2"/>
  </r>
  <r>
    <x v="8"/>
    <s v="01269"/>
    <s v="สอ.ต.ท่าดินแดง"/>
    <n v="1058"/>
    <n v="525"/>
    <n v="162"/>
    <n v="38"/>
    <n v="26"/>
    <n v="0"/>
    <n v="1809"/>
    <x v="2"/>
  </r>
  <r>
    <x v="8"/>
    <s v="01270"/>
    <s v="สอ.ต.ดอนลาน"/>
    <n v="1263"/>
    <n v="397"/>
    <n v="86"/>
    <n v="3"/>
    <n v="12"/>
    <n v="0"/>
    <n v="1761"/>
    <x v="2"/>
  </r>
  <r>
    <x v="8"/>
    <s v="01271"/>
    <s v="สอ.ต.นาคู"/>
    <n v="1156"/>
    <n v="412"/>
    <n v="119"/>
    <n v="23"/>
    <n v="17"/>
    <n v="0"/>
    <n v="1727"/>
    <x v="2"/>
  </r>
  <r>
    <x v="8"/>
    <s v="01272"/>
    <s v="สอ.ต.กุฎี"/>
    <n v="1265"/>
    <n v="568"/>
    <n v="226"/>
    <n v="10"/>
    <n v="20"/>
    <n v="0"/>
    <n v="2089"/>
    <x v="2"/>
  </r>
  <r>
    <x v="8"/>
    <s v="01273"/>
    <s v="สอ.ต.ลำตะเคียน"/>
    <n v="838"/>
    <n v="279"/>
    <n v="52"/>
    <n v="7"/>
    <n v="8"/>
    <n v="0"/>
    <n v="1184"/>
    <x v="2"/>
  </r>
  <r>
    <x v="8"/>
    <s v="01274"/>
    <s v="สอ.ต.โคกช้าง"/>
    <n v="928"/>
    <n v="369"/>
    <n v="97"/>
    <n v="9"/>
    <n v="11"/>
    <n v="1"/>
    <n v="1415"/>
    <x v="2"/>
  </r>
  <r>
    <x v="8"/>
    <s v="01275"/>
    <s v="สอ.ต.จักราช"/>
    <n v="1287"/>
    <n v="475"/>
    <n v="142"/>
    <n v="13"/>
    <n v="17"/>
    <n v="1"/>
    <n v="1935"/>
    <x v="2"/>
  </r>
  <r>
    <x v="8"/>
    <s v="01276"/>
    <s v="สอ.ต.หนองน้ำใหญ่"/>
    <n v="3850"/>
    <n v="1279"/>
    <n v="237"/>
    <n v="89"/>
    <n v="53"/>
    <n v="3"/>
    <n v="5511"/>
    <x v="1"/>
  </r>
  <r>
    <x v="8"/>
    <s v="01277"/>
    <s v="สอ.ต.ลาดชิด"/>
    <n v="2444"/>
    <n v="734"/>
    <n v="232"/>
    <n v="34"/>
    <n v="23"/>
    <n v="0"/>
    <n v="3467"/>
    <x v="1"/>
  </r>
  <r>
    <x v="8"/>
    <s v="01278"/>
    <s v="สอ.ต.หน้าโคก"/>
    <n v="1461"/>
    <n v="441"/>
    <n v="145"/>
    <n v="15"/>
    <n v="30"/>
    <n v="3"/>
    <n v="2095"/>
    <x v="2"/>
  </r>
  <r>
    <x v="8"/>
    <s v="01279"/>
    <s v="สอ.ต.บ้านใหญ่"/>
    <n v="1206"/>
    <n v="573"/>
    <n v="219"/>
    <n v="16"/>
    <n v="34"/>
    <n v="0"/>
    <n v="2048"/>
    <x v="2"/>
  </r>
  <r>
    <x v="9"/>
    <s v="01280"/>
    <s v="สอ.ต.โคกม่วง"/>
    <n v="1838"/>
    <n v="1173"/>
    <n v="250"/>
    <n v="27"/>
    <n v="55"/>
    <n v="2"/>
    <n v="3345"/>
    <x v="1"/>
  </r>
  <r>
    <x v="9"/>
    <s v="01281"/>
    <s v="สอ.ต.ระโสม"/>
    <n v="3038"/>
    <n v="1276"/>
    <n v="176"/>
    <n v="31"/>
    <n v="31"/>
    <n v="1"/>
    <n v="4553"/>
    <x v="1"/>
  </r>
  <r>
    <x v="9"/>
    <s v="01282"/>
    <s v="สอ.ต.หนองน้ำใส"/>
    <n v="1943"/>
    <n v="841"/>
    <n v="213"/>
    <n v="21"/>
    <n v="30"/>
    <n v="1"/>
    <n v="3049"/>
    <x v="1"/>
  </r>
  <r>
    <x v="9"/>
    <s v="01283"/>
    <s v="สอ.ต.ดอนหญ้านาง"/>
    <n v="1592"/>
    <n v="745"/>
    <n v="252"/>
    <n v="11"/>
    <n v="39"/>
    <n v="1"/>
    <n v="2640"/>
    <x v="2"/>
  </r>
  <r>
    <x v="9"/>
    <s v="01284"/>
    <s v="สอ.ต.ไผ่ล้อม"/>
    <n v="2099"/>
    <n v="1149"/>
    <n v="264"/>
    <n v="28"/>
    <n v="51"/>
    <n v="2"/>
    <n v="3593"/>
    <x v="1"/>
  </r>
  <r>
    <x v="9"/>
    <s v="01285"/>
    <s v="สอ.ต.กระจิว"/>
    <n v="2189"/>
    <n v="1136"/>
    <n v="185"/>
    <n v="24"/>
    <n v="35"/>
    <n v="2"/>
    <n v="3571"/>
    <x v="1"/>
  </r>
  <r>
    <x v="9"/>
    <s v="01286"/>
    <s v="สอ.ต.พระแก้ว"/>
    <n v="1540"/>
    <n v="722"/>
    <n v="108"/>
    <n v="10"/>
    <n v="18"/>
    <n v="1"/>
    <n v="2399"/>
    <x v="2"/>
  </r>
  <r>
    <x v="10"/>
    <s v="01287"/>
    <s v="สอ.ต.หลักชัย"/>
    <n v="3708"/>
    <n v="1083"/>
    <n v="237"/>
    <n v="42"/>
    <n v="37"/>
    <n v="2"/>
    <n v="5109"/>
    <x v="1"/>
  </r>
  <r>
    <x v="10"/>
    <s v="01288"/>
    <s v="สอ.ต.สามเมือง"/>
    <n v="2425"/>
    <n v="813"/>
    <n v="113"/>
    <n v="13"/>
    <n v="22"/>
    <n v="2"/>
    <n v="3388"/>
    <x v="1"/>
  </r>
  <r>
    <x v="10"/>
    <s v="01289"/>
    <s v="สอ.พระยาบันลือ"/>
    <n v="3048"/>
    <n v="936"/>
    <n v="220"/>
    <n v="10"/>
    <n v="40"/>
    <n v="1"/>
    <n v="4255"/>
    <x v="1"/>
  </r>
  <r>
    <x v="10"/>
    <s v="01290"/>
    <s v="สอ.ต.สิงหนาท"/>
    <n v="2344"/>
    <n v="794"/>
    <n v="143"/>
    <n v="16"/>
    <n v="16"/>
    <n v="1"/>
    <n v="3314"/>
    <x v="1"/>
  </r>
  <r>
    <x v="10"/>
    <s v="01291"/>
    <s v="สอ.สิงหนาท 2 (วัดหนองปลาดุก)"/>
    <n v="1661"/>
    <n v="741"/>
    <n v="147"/>
    <n v="34"/>
    <n v="23"/>
    <n v="1"/>
    <n v="2607"/>
    <x v="2"/>
  </r>
  <r>
    <x v="10"/>
    <s v="01292"/>
    <s v="สอ.ต.คู้สลอด"/>
    <n v="3072"/>
    <n v="802"/>
    <n v="146"/>
    <n v="58"/>
    <n v="23"/>
    <n v="0"/>
    <n v="4101"/>
    <x v="1"/>
  </r>
  <r>
    <x v="10"/>
    <s v="01293"/>
    <s v="สอ.ต.พระยาบันลือ"/>
    <n v="2408"/>
    <n v="711"/>
    <n v="191"/>
    <n v="11"/>
    <n v="12"/>
    <n v="1"/>
    <n v="3334"/>
    <x v="1"/>
  </r>
  <r>
    <x v="10"/>
    <s v="14915"/>
    <s v="สอ.ต.ลาดบัวหลวง"/>
    <n v="4844"/>
    <n v="1554"/>
    <n v="461"/>
    <n v="50"/>
    <n v="62"/>
    <n v="4"/>
    <n v="6975"/>
    <x v="1"/>
  </r>
  <r>
    <x v="11"/>
    <s v="01294"/>
    <s v="สอ.ต.วังน้อย"/>
    <n v="3018"/>
    <n v="1393"/>
    <n v="386"/>
    <n v="33"/>
    <n v="58"/>
    <n v="6"/>
    <n v="4894"/>
    <x v="1"/>
  </r>
  <r>
    <x v="11"/>
    <s v="01295"/>
    <s v="สอ.ต.ลำตาเสา"/>
    <n v="7254"/>
    <n v="4191"/>
    <n v="819"/>
    <n v="83"/>
    <n v="151"/>
    <n v="3"/>
    <n v="12501"/>
    <x v="0"/>
  </r>
  <r>
    <x v="11"/>
    <s v="01296"/>
    <s v="สอ.ต.บ่อตาโล่"/>
    <n v="4761"/>
    <n v="1830"/>
    <n v="270"/>
    <n v="21"/>
    <n v="43"/>
    <n v="0"/>
    <n v="6925"/>
    <x v="1"/>
  </r>
  <r>
    <x v="11"/>
    <s v="01297"/>
    <s v="สอ.บ้านหนองโสน"/>
    <n v="458"/>
    <n v="65"/>
    <n v="11"/>
    <n v="3"/>
    <n v="1"/>
    <n v="1"/>
    <n v="539"/>
    <x v="2"/>
  </r>
  <r>
    <x v="11"/>
    <s v="01298"/>
    <s v="สอ.ต.สนับทึบ"/>
    <n v="2155"/>
    <n v="1454"/>
    <n v="138"/>
    <n v="22"/>
    <n v="23"/>
    <n v="1"/>
    <n v="3793"/>
    <x v="1"/>
  </r>
  <r>
    <x v="11"/>
    <s v="01299"/>
    <s v="สอ.ต.พยอม"/>
    <n v="4843"/>
    <n v="3656"/>
    <n v="602"/>
    <n v="51"/>
    <n v="151"/>
    <n v="3"/>
    <n v="9306"/>
    <x v="0"/>
  </r>
  <r>
    <x v="11"/>
    <s v="01300"/>
    <s v="สอ.ต.หันตะเภา"/>
    <n v="2370"/>
    <n v="939"/>
    <n v="93"/>
    <n v="26"/>
    <n v="22"/>
    <n v="2"/>
    <n v="3452"/>
    <x v="1"/>
  </r>
  <r>
    <x v="11"/>
    <s v="01301"/>
    <s v="สอ.ต.วังจุฬา"/>
    <n v="2177"/>
    <n v="1118"/>
    <n v="163"/>
    <n v="35"/>
    <n v="32"/>
    <n v="0"/>
    <n v="3525"/>
    <x v="1"/>
  </r>
  <r>
    <x v="11"/>
    <s v="01302"/>
    <s v="สอ.ต.ข้าวงาม"/>
    <n v="1434"/>
    <n v="705"/>
    <n v="72"/>
    <n v="12"/>
    <n v="20"/>
    <n v="0"/>
    <n v="2243"/>
    <x v="2"/>
  </r>
  <r>
    <x v="11"/>
    <s v="01303"/>
    <s v="สอ.ต.ชะแมบ"/>
    <n v="4076"/>
    <n v="1511"/>
    <n v="177"/>
    <n v="21"/>
    <n v="36"/>
    <n v="2"/>
    <n v="5823"/>
    <x v="1"/>
  </r>
  <r>
    <x v="12"/>
    <s v="01321"/>
    <s v="สอ.ต.แก้วฟ้า"/>
    <n v="1273"/>
    <n v="466"/>
    <n v="93"/>
    <n v="15"/>
    <n v="15"/>
    <n v="1"/>
    <n v="1863"/>
    <x v="2"/>
  </r>
  <r>
    <x v="12"/>
    <s v="01322"/>
    <s v="สอ.ต.เต่าเล่า"/>
    <n v="1463"/>
    <n v="665"/>
    <n v="189"/>
    <n v="36"/>
    <n v="37"/>
    <n v="2"/>
    <n v="2392"/>
    <x v="2"/>
  </r>
  <r>
    <x v="12"/>
    <s v="01323"/>
    <s v="สอ.ทางหลวง"/>
    <n v="1147"/>
    <n v="498"/>
    <n v="67"/>
    <n v="4"/>
    <n v="17"/>
    <n v="1"/>
    <n v="1734"/>
    <x v="2"/>
  </r>
  <r>
    <x v="12"/>
    <s v="01324"/>
    <s v="สอ.ต.ปลายกลัด"/>
    <n v="1862"/>
    <n v="755"/>
    <n v="138"/>
    <n v="28"/>
    <n v="27"/>
    <n v="2"/>
    <n v="2812"/>
    <x v="2"/>
  </r>
  <r>
    <x v="12"/>
    <s v="01325"/>
    <s v="สอ.ต.เทพมงคล"/>
    <n v="2414"/>
    <n v="853"/>
    <n v="143"/>
    <n v="14"/>
    <n v="22"/>
    <n v="1"/>
    <n v="3447"/>
    <x v="1"/>
  </r>
  <r>
    <x v="12"/>
    <s v="01326"/>
    <s v="สอ.ต.วังพัฒนา"/>
    <n v="1090"/>
    <n v="307"/>
    <n v="64"/>
    <n v="5"/>
    <n v="7"/>
    <n v="0"/>
    <n v="1473"/>
    <x v="2"/>
  </r>
  <r>
    <x v="13"/>
    <s v="01327"/>
    <s v="สอ.อำเภออุทัย"/>
    <n v="4481"/>
    <n v="1597"/>
    <n v="484"/>
    <n v="60"/>
    <n v="72"/>
    <n v="11"/>
    <n v="6705"/>
    <x v="1"/>
  </r>
  <r>
    <x v="13"/>
    <s v="01328"/>
    <s v="สอ.ต.คานหาม"/>
    <n v="3747"/>
    <n v="1762"/>
    <n v="488"/>
    <n v="57"/>
    <n v="96"/>
    <n v="2"/>
    <n v="6152"/>
    <x v="1"/>
  </r>
  <r>
    <x v="13"/>
    <s v="01329"/>
    <s v="สอ.ต.บ้านช้าง"/>
    <n v="1936"/>
    <n v="658"/>
    <n v="86"/>
    <n v="13"/>
    <n v="13"/>
    <n v="2"/>
    <n v="2708"/>
    <x v="2"/>
  </r>
  <r>
    <x v="13"/>
    <s v="01330"/>
    <s v="สอ.ต.สามบัณฑิต"/>
    <n v="2694"/>
    <n v="1168"/>
    <n v="187"/>
    <n v="35"/>
    <n v="38"/>
    <n v="0"/>
    <n v="4122"/>
    <x v="1"/>
  </r>
  <r>
    <x v="13"/>
    <s v="01331"/>
    <s v="สอ.ต.บ้านหีบ"/>
    <n v="2385"/>
    <n v="1139"/>
    <n v="114"/>
    <n v="14"/>
    <n v="28"/>
    <n v="0"/>
    <n v="3680"/>
    <x v="1"/>
  </r>
  <r>
    <x v="13"/>
    <s v="01332"/>
    <s v="สอ.ต.หนองไม้ซุง"/>
    <n v="2025"/>
    <n v="708"/>
    <n v="98"/>
    <n v="25"/>
    <n v="13"/>
    <n v="0"/>
    <n v="2869"/>
    <x v="2"/>
  </r>
  <r>
    <x v="13"/>
    <s v="01333"/>
    <s v="สอ.ต.เสนา"/>
    <n v="1975"/>
    <n v="840"/>
    <n v="113"/>
    <n v="11"/>
    <n v="20"/>
    <n v="0"/>
    <n v="2959"/>
    <x v="2"/>
  </r>
  <r>
    <x v="13"/>
    <s v="01334"/>
    <s v="สอ.ต.หนองน้ำส้ม"/>
    <n v="1677"/>
    <n v="720"/>
    <n v="138"/>
    <n v="22"/>
    <n v="20"/>
    <n v="0"/>
    <n v="2577"/>
    <x v="2"/>
  </r>
  <r>
    <x v="13"/>
    <s v="01335"/>
    <s v="สอ.ต.โพสาวหาญ"/>
    <n v="2236"/>
    <n v="1106"/>
    <n v="143"/>
    <n v="33"/>
    <n v="32"/>
    <n v="0"/>
    <n v="3550"/>
    <x v="1"/>
  </r>
  <r>
    <x v="13"/>
    <s v="01336"/>
    <s v="สอ.ต.ธนู"/>
    <n v="3037"/>
    <n v="1279"/>
    <n v="711"/>
    <n v="66"/>
    <n v="74"/>
    <n v="0"/>
    <n v="5167"/>
    <x v="1"/>
  </r>
  <r>
    <x v="13"/>
    <s v="01337"/>
    <s v="สอ.ต.ข้าวเม่า"/>
    <n v="1397"/>
    <n v="601"/>
    <n v="207"/>
    <n v="24"/>
    <n v="31"/>
    <n v="0"/>
    <n v="2260"/>
    <x v="2"/>
  </r>
  <r>
    <x v="13"/>
    <s v="01338"/>
    <s v="สอ.บ้านหนองคัดเค้า"/>
    <n v="1230"/>
    <n v="583"/>
    <n v="180"/>
    <n v="13"/>
    <n v="20"/>
    <n v="0"/>
    <n v="2026"/>
    <x v="2"/>
  </r>
  <r>
    <x v="14"/>
    <s v="01339"/>
    <s v="สอ.ต.มหาราช"/>
    <n v="767"/>
    <n v="353"/>
    <n v="152"/>
    <n v="21"/>
    <n v="21"/>
    <n v="0"/>
    <n v="1314"/>
    <x v="2"/>
  </r>
  <r>
    <x v="14"/>
    <s v="01340"/>
    <s v="สอ.ต.กระทุ่ม"/>
    <n v="465"/>
    <n v="31"/>
    <n v="22"/>
    <n v="1"/>
    <n v="1"/>
    <n v="0"/>
    <n v="520"/>
    <x v="2"/>
  </r>
  <r>
    <x v="14"/>
    <s v="01341"/>
    <s v="สอ.บ้านหนองจิก"/>
    <n v="241"/>
    <n v="371"/>
    <n v="101"/>
    <n v="17"/>
    <n v="8"/>
    <n v="0"/>
    <n v="738"/>
    <x v="2"/>
  </r>
  <r>
    <x v="14"/>
    <s v="01342"/>
    <s v="สอ.ต.น้ำเต้า"/>
    <n v="755"/>
    <n v="324"/>
    <n v="110"/>
    <n v="17"/>
    <n v="11"/>
    <n v="0"/>
    <n v="1217"/>
    <x v="2"/>
  </r>
  <r>
    <x v="14"/>
    <s v="01343"/>
    <s v="สอ.ต.บางนา"/>
    <n v="1109"/>
    <n v="487"/>
    <n v="172"/>
    <n v="31"/>
    <n v="27"/>
    <n v="0"/>
    <n v="1826"/>
    <x v="2"/>
  </r>
  <r>
    <x v="14"/>
    <s v="01344"/>
    <s v="สอ.ต.โรงช้าง"/>
    <n v="967"/>
    <n v="393"/>
    <n v="205"/>
    <n v="27"/>
    <n v="16"/>
    <n v="0"/>
    <n v="1608"/>
    <x v="2"/>
  </r>
  <r>
    <x v="14"/>
    <s v="01345"/>
    <s v="สอ.ต.เจ้าปลุก"/>
    <n v="837"/>
    <n v="345"/>
    <n v="148"/>
    <n v="12"/>
    <n v="22"/>
    <n v="1"/>
    <n v="1365"/>
    <x v="2"/>
  </r>
  <r>
    <x v="14"/>
    <s v="01346"/>
    <s v="สอ.ต.พิตเพียน"/>
    <n v="925"/>
    <n v="435"/>
    <n v="202"/>
    <n v="39"/>
    <n v="28"/>
    <n v="1"/>
    <n v="1630"/>
    <x v="2"/>
  </r>
  <r>
    <x v="14"/>
    <s v="01347"/>
    <s v="สอ.ต.บ้านนา"/>
    <n v="2292"/>
    <n v="839"/>
    <n v="279"/>
    <n v="31"/>
    <n v="40"/>
    <n v="0"/>
    <n v="3481"/>
    <x v="1"/>
  </r>
  <r>
    <x v="14"/>
    <s v="01348"/>
    <s v="สอ.ต.บ้านขวาง"/>
    <n v="1114"/>
    <n v="494"/>
    <n v="232"/>
    <n v="29"/>
    <n v="29"/>
    <n v="3"/>
    <n v="1901"/>
    <x v="2"/>
  </r>
  <r>
    <x v="14"/>
    <s v="01349"/>
    <s v="สอ.ต.ท่าตอ"/>
    <n v="1330"/>
    <n v="490"/>
    <n v="172"/>
    <n v="32"/>
    <n v="33"/>
    <n v="3"/>
    <n v="2060"/>
    <x v="2"/>
  </r>
  <r>
    <x v="14"/>
    <s v="01350"/>
    <s v="สอ.ต.บ้านใหม่"/>
    <n v="1213"/>
    <n v="561"/>
    <n v="151"/>
    <n v="27"/>
    <n v="39"/>
    <n v="0"/>
    <n v="1991"/>
    <x v="2"/>
  </r>
  <r>
    <x v="15"/>
    <s v="01351"/>
    <s v="สอ.ต.บ้านแพรก"/>
    <n v="1158"/>
    <n v="422"/>
    <n v="319"/>
    <n v="63"/>
    <n v="43"/>
    <n v="0"/>
    <n v="2005"/>
    <x v="2"/>
  </r>
  <r>
    <x v="15"/>
    <s v="01352"/>
    <s v="สอ.ต.สำพะเนียง"/>
    <n v="1530"/>
    <n v="578"/>
    <n v="245"/>
    <n v="39"/>
    <n v="35"/>
    <n v="1"/>
    <n v="2428"/>
    <x v="2"/>
  </r>
  <r>
    <x v="15"/>
    <s v="01353"/>
    <s v="สอ.ต.คลองน้อย"/>
    <n v="792"/>
    <n v="362"/>
    <n v="96"/>
    <n v="16"/>
    <n v="10"/>
    <n v="0"/>
    <n v="1276"/>
    <x v="2"/>
  </r>
  <r>
    <x v="15"/>
    <s v="01354"/>
    <s v="สอ.ต.สองห้อง"/>
    <n v="849"/>
    <n v="387"/>
    <n v="91"/>
    <n v="0"/>
    <n v="15"/>
    <n v="0"/>
    <n v="134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 rowHeaderCaption="รหัสหน่วยบริการ">
  <location ref="B3:F20" firstHeaderRow="0" firstDataRow="1" firstDataCol="1"/>
  <pivotFields count="17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numFmtId="188" showAll="0"/>
    <pivotField numFmtId="188" showAll="0"/>
    <pivotField numFmtId="188" showAll="0"/>
    <pivotField numFmtId="188" showAll="0"/>
    <pivotField numFmtId="188" showAll="0"/>
    <pivotField numFmtId="188" showAll="0"/>
    <pivotField numFmtId="188" showAll="0"/>
    <pivotField dataField="1" showAll="0"/>
    <pivotField showAll="0"/>
    <pivotField showAll="0"/>
    <pivotField showAll="0"/>
    <pivotField dataField="1" showAll="0"/>
    <pivotField dataField="1" showAll="0" defaultSubtota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สสจ คำนวณ" fld="14" baseField="0" baseItem="0" numFmtId="43"/>
    <dataField name="จัดสรรจริง" fld="15" baseField="0" baseItem="0" numFmtId="43"/>
    <dataField name="ค่าเฉลี่ย ของ %" fld="16" subtotal="average" baseField="0" baseItem="0" numFmtId="1"/>
    <dataField name="จำนวน รพ.สต" fld="10" subtotal="count" baseField="0" baseItem="0"/>
  </dataFields>
  <formats count="19"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collapsedLevelsAreSubtotals="1" fieldPosition="0">
        <references count="1">
          <reference field="0" count="1">
            <x v="10"/>
          </reference>
        </references>
      </pivotArea>
    </format>
    <format dxfId="15">
      <pivotArea dataOnly="0" labelOnly="1" fieldPosition="0">
        <references count="1">
          <reference field="0" count="1">
            <x v="10"/>
          </reference>
        </references>
      </pivotArea>
    </format>
    <format dxfId="14">
      <pivotArea collapsedLevelsAreSubtotals="1" fieldPosition="0">
        <references count="1">
          <reference field="0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type="all" dataOnly="0" outline="0" fieldPosition="0"/>
    </format>
    <format dxfId="3">
      <pivotArea type="all" dataOnly="0" outline="0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E21" firstHeaderRow="1" firstDataRow="2" firstDataCol="1"/>
  <pivotFields count="11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numFmtId="188" showAll="0"/>
    <pivotField numFmtId="188" showAll="0"/>
    <pivotField numFmtId="188" showAll="0"/>
    <pivotField numFmtId="188" showAll="0"/>
    <pivotField numFmtId="188" showAll="0"/>
    <pivotField numFmtId="188" showAll="0"/>
    <pivotField numFmtId="188" showAll="0"/>
    <pivotField axis="axisCol" dataField="1" showAll="0">
      <items count="4">
        <item x="2"/>
        <item x="1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นับจำนวน ของ 11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8"/>
  <sheetViews>
    <sheetView topLeftCell="B1" zoomScale="90" zoomScaleNormal="90" workbookViewId="0">
      <selection activeCell="B20" sqref="B20"/>
    </sheetView>
  </sheetViews>
  <sheetFormatPr defaultRowHeight="21" x14ac:dyDescent="0.35"/>
  <cols>
    <col min="1" max="1" width="14.28515625" style="2" customWidth="1"/>
    <col min="2" max="2" width="36.5703125" style="2" customWidth="1"/>
    <col min="3" max="3" width="19.85546875" style="64" customWidth="1"/>
    <col min="4" max="4" width="16.85546875" style="2" customWidth="1"/>
    <col min="5" max="5" width="9.140625" style="2"/>
    <col min="6" max="6" width="12.5703125" style="2" customWidth="1"/>
    <col min="7" max="7" width="11.28515625" style="2" bestFit="1" customWidth="1"/>
    <col min="8" max="8" width="10.140625" style="2" bestFit="1" customWidth="1"/>
    <col min="9" max="9" width="20.85546875" style="2" customWidth="1"/>
    <col min="10" max="10" width="18.140625" style="2" customWidth="1"/>
    <col min="11" max="16384" width="9.140625" style="2"/>
  </cols>
  <sheetData>
    <row r="1" spans="1:10" x14ac:dyDescent="0.35">
      <c r="A1" s="302" t="s">
        <v>719</v>
      </c>
      <c r="B1" s="302"/>
      <c r="C1" s="302"/>
      <c r="D1" s="298" t="s">
        <v>252</v>
      </c>
      <c r="E1" s="298"/>
      <c r="F1" s="298"/>
      <c r="G1" s="298"/>
      <c r="H1" s="298"/>
      <c r="I1" s="298"/>
      <c r="J1" s="298"/>
    </row>
    <row r="2" spans="1:10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0" x14ac:dyDescent="0.35">
      <c r="D3" s="44"/>
      <c r="E3" s="44"/>
      <c r="F3" s="299" t="s">
        <v>718</v>
      </c>
      <c r="G3" s="300"/>
      <c r="H3" s="300"/>
      <c r="I3" s="300"/>
      <c r="J3" s="301"/>
    </row>
    <row r="4" spans="1:10" x14ac:dyDescent="0.35">
      <c r="A4" s="63" t="s">
        <v>716</v>
      </c>
      <c r="B4" s="63" t="s">
        <v>256</v>
      </c>
      <c r="C4" s="65" t="s">
        <v>717</v>
      </c>
      <c r="D4" s="53" t="s">
        <v>223</v>
      </c>
      <c r="E4" s="53" t="s">
        <v>222</v>
      </c>
      <c r="F4" s="53" t="s">
        <v>218</v>
      </c>
      <c r="G4" s="53" t="s">
        <v>219</v>
      </c>
      <c r="H4" s="53" t="s">
        <v>220</v>
      </c>
      <c r="I4" s="54" t="s">
        <v>224</v>
      </c>
      <c r="J4" s="53" t="s">
        <v>221</v>
      </c>
    </row>
    <row r="5" spans="1:10" x14ac:dyDescent="0.35">
      <c r="A5" s="7" t="s">
        <v>337</v>
      </c>
      <c r="B5" s="7" t="s">
        <v>338</v>
      </c>
      <c r="C5" s="66">
        <v>4592</v>
      </c>
      <c r="D5" s="53" t="s">
        <v>1</v>
      </c>
      <c r="E5" s="53" t="s">
        <v>0</v>
      </c>
      <c r="F5" s="55">
        <v>1051</v>
      </c>
      <c r="G5" s="55">
        <v>1204</v>
      </c>
      <c r="H5" s="55">
        <v>71</v>
      </c>
      <c r="I5" s="55">
        <v>117</v>
      </c>
      <c r="J5" s="55">
        <v>3</v>
      </c>
    </row>
    <row r="6" spans="1:10" x14ac:dyDescent="0.35">
      <c r="A6" s="7"/>
      <c r="B6" s="7"/>
      <c r="C6" s="66"/>
      <c r="D6" s="53" t="s">
        <v>28</v>
      </c>
      <c r="E6" s="53" t="s">
        <v>7</v>
      </c>
      <c r="F6" s="55">
        <v>327</v>
      </c>
      <c r="G6" s="55">
        <v>128</v>
      </c>
      <c r="H6" s="55">
        <v>17</v>
      </c>
      <c r="I6" s="55">
        <v>15</v>
      </c>
      <c r="J6" s="56"/>
    </row>
    <row r="7" spans="1:10" x14ac:dyDescent="0.35">
      <c r="A7" s="7"/>
      <c r="B7" s="7"/>
      <c r="C7" s="66"/>
      <c r="D7" s="53" t="s">
        <v>16</v>
      </c>
      <c r="E7" s="53" t="s">
        <v>2</v>
      </c>
      <c r="F7" s="57">
        <v>206</v>
      </c>
      <c r="G7" s="57">
        <v>90</v>
      </c>
      <c r="H7" s="57">
        <v>7</v>
      </c>
      <c r="I7" s="57">
        <v>11</v>
      </c>
      <c r="J7" s="56"/>
    </row>
    <row r="8" spans="1:10" x14ac:dyDescent="0.35">
      <c r="A8" s="7"/>
      <c r="B8" s="7"/>
      <c r="C8" s="66"/>
      <c r="D8" s="53"/>
      <c r="E8" s="53"/>
      <c r="F8" s="55"/>
      <c r="G8" s="55"/>
      <c r="H8" s="55"/>
      <c r="I8" s="55"/>
      <c r="J8" s="56"/>
    </row>
    <row r="9" spans="1:10" x14ac:dyDescent="0.35">
      <c r="A9" s="8"/>
      <c r="B9" s="7" t="s">
        <v>340</v>
      </c>
      <c r="C9" s="66">
        <v>1335</v>
      </c>
      <c r="D9" s="53"/>
      <c r="E9" s="53"/>
      <c r="F9" s="55"/>
      <c r="G9" s="55"/>
      <c r="H9" s="55"/>
      <c r="I9" s="55"/>
      <c r="J9" s="56"/>
    </row>
    <row r="10" spans="1:10" x14ac:dyDescent="0.35">
      <c r="A10" s="8"/>
      <c r="B10" s="7" t="s">
        <v>342</v>
      </c>
      <c r="C10" s="66">
        <v>1143</v>
      </c>
      <c r="D10" s="53"/>
      <c r="E10" s="53"/>
      <c r="F10" s="55"/>
      <c r="G10" s="55"/>
      <c r="H10" s="55"/>
      <c r="I10" s="55"/>
      <c r="J10" s="56"/>
    </row>
    <row r="11" spans="1:10" x14ac:dyDescent="0.35">
      <c r="A11" s="8"/>
      <c r="B11" s="7" t="s">
        <v>348</v>
      </c>
      <c r="C11" s="66">
        <v>3567</v>
      </c>
      <c r="D11" s="53"/>
      <c r="E11" s="53"/>
      <c r="F11" s="55"/>
      <c r="G11" s="55"/>
      <c r="H11" s="55"/>
      <c r="I11" s="55"/>
      <c r="J11" s="56"/>
    </row>
    <row r="12" spans="1:10" x14ac:dyDescent="0.35">
      <c r="A12" s="7"/>
      <c r="B12" s="7" t="s">
        <v>344</v>
      </c>
      <c r="C12" s="66">
        <v>1532</v>
      </c>
      <c r="D12" s="53"/>
      <c r="E12" s="53"/>
      <c r="F12" s="55"/>
      <c r="G12" s="55"/>
      <c r="H12" s="55"/>
      <c r="I12" s="55"/>
      <c r="J12" s="56"/>
    </row>
    <row r="13" spans="1:10" x14ac:dyDescent="0.35">
      <c r="A13" s="7"/>
      <c r="B13" s="7"/>
      <c r="C13" s="66"/>
      <c r="D13" s="53"/>
      <c r="E13" s="53"/>
      <c r="F13" s="55"/>
      <c r="G13" s="55"/>
      <c r="H13" s="55"/>
      <c r="I13" s="55"/>
      <c r="J13" s="56"/>
    </row>
    <row r="14" spans="1:10" x14ac:dyDescent="0.35">
      <c r="A14" s="7"/>
      <c r="B14" s="7"/>
      <c r="C14" s="66"/>
      <c r="D14" s="53"/>
      <c r="E14" s="53"/>
      <c r="F14" s="55"/>
      <c r="G14" s="55"/>
      <c r="H14" s="55"/>
      <c r="I14" s="55"/>
      <c r="J14" s="56"/>
    </row>
    <row r="15" spans="1:10" x14ac:dyDescent="0.35">
      <c r="A15" s="7" t="s">
        <v>343</v>
      </c>
      <c r="B15" s="249" t="s">
        <v>711</v>
      </c>
      <c r="C15" s="250">
        <v>10350</v>
      </c>
      <c r="D15" s="251" t="s">
        <v>1</v>
      </c>
      <c r="E15" s="251" t="s">
        <v>2</v>
      </c>
      <c r="F15" s="252">
        <v>134</v>
      </c>
      <c r="G15" s="252">
        <v>165</v>
      </c>
      <c r="H15" s="252">
        <v>4</v>
      </c>
      <c r="I15" s="252">
        <v>14</v>
      </c>
      <c r="J15" s="253"/>
    </row>
    <row r="16" spans="1:10" x14ac:dyDescent="0.35">
      <c r="A16" s="7" t="s">
        <v>345</v>
      </c>
      <c r="D16" s="251" t="s">
        <v>1</v>
      </c>
      <c r="E16" s="251" t="s">
        <v>3</v>
      </c>
      <c r="F16" s="252">
        <v>372</v>
      </c>
      <c r="G16" s="252">
        <v>158</v>
      </c>
      <c r="H16" s="252">
        <v>11</v>
      </c>
      <c r="I16" s="252">
        <v>16</v>
      </c>
      <c r="J16" s="253"/>
    </row>
    <row r="17" spans="1:10" x14ac:dyDescent="0.35">
      <c r="A17" s="8"/>
      <c r="B17" s="8"/>
      <c r="C17" s="67"/>
      <c r="D17" s="251" t="s">
        <v>1</v>
      </c>
      <c r="E17" s="251" t="s">
        <v>4</v>
      </c>
      <c r="F17" s="252">
        <v>515</v>
      </c>
      <c r="G17" s="252">
        <v>354</v>
      </c>
      <c r="H17" s="252">
        <v>27</v>
      </c>
      <c r="I17" s="252">
        <v>31</v>
      </c>
      <c r="J17" s="252">
        <v>3</v>
      </c>
    </row>
    <row r="18" spans="1:10" x14ac:dyDescent="0.35">
      <c r="A18" s="8"/>
      <c r="B18" s="8"/>
      <c r="C18" s="67"/>
      <c r="D18" s="251" t="s">
        <v>1</v>
      </c>
      <c r="E18" s="251" t="s">
        <v>5</v>
      </c>
      <c r="F18" s="252">
        <v>69</v>
      </c>
      <c r="G18" s="252">
        <v>74</v>
      </c>
      <c r="H18" s="252">
        <v>4</v>
      </c>
      <c r="I18" s="252">
        <v>11</v>
      </c>
      <c r="J18" s="253"/>
    </row>
    <row r="19" spans="1:10" x14ac:dyDescent="0.35">
      <c r="A19" s="8"/>
      <c r="B19" s="8"/>
      <c r="C19" s="67"/>
      <c r="D19" s="251" t="s">
        <v>1</v>
      </c>
      <c r="E19" s="251" t="s">
        <v>6</v>
      </c>
      <c r="F19" s="252">
        <v>97</v>
      </c>
      <c r="G19" s="252">
        <v>33</v>
      </c>
      <c r="H19" s="252">
        <v>3</v>
      </c>
      <c r="I19" s="252">
        <v>5</v>
      </c>
      <c r="J19" s="253"/>
    </row>
    <row r="20" spans="1:10" x14ac:dyDescent="0.35">
      <c r="A20" s="8"/>
      <c r="B20" s="8"/>
      <c r="C20" s="67"/>
      <c r="D20" s="251" t="s">
        <v>1</v>
      </c>
      <c r="E20" s="251" t="s">
        <v>7</v>
      </c>
      <c r="F20" s="252">
        <v>124</v>
      </c>
      <c r="G20" s="252">
        <v>85</v>
      </c>
      <c r="H20" s="252">
        <v>6</v>
      </c>
      <c r="I20" s="252">
        <v>9</v>
      </c>
      <c r="J20" s="253"/>
    </row>
    <row r="21" spans="1:10" x14ac:dyDescent="0.35">
      <c r="A21" s="68" t="s">
        <v>335</v>
      </c>
      <c r="B21" s="68" t="s">
        <v>336</v>
      </c>
      <c r="C21" s="69">
        <v>2879</v>
      </c>
      <c r="D21" s="53" t="s">
        <v>32</v>
      </c>
      <c r="E21" s="53" t="s">
        <v>4</v>
      </c>
      <c r="F21" s="55">
        <v>190</v>
      </c>
      <c r="G21" s="55">
        <v>61</v>
      </c>
      <c r="H21" s="55">
        <v>9</v>
      </c>
      <c r="I21" s="55">
        <v>14</v>
      </c>
      <c r="J21" s="56"/>
    </row>
    <row r="22" spans="1:10" x14ac:dyDescent="0.35">
      <c r="A22" s="70"/>
      <c r="B22" s="70"/>
      <c r="C22" s="71"/>
      <c r="D22" s="53" t="s">
        <v>32</v>
      </c>
      <c r="E22" s="53" t="s">
        <v>5</v>
      </c>
      <c r="F22" s="55">
        <v>41</v>
      </c>
      <c r="G22" s="55">
        <v>20</v>
      </c>
      <c r="H22" s="56"/>
      <c r="I22" s="55">
        <v>2</v>
      </c>
      <c r="J22" s="56"/>
    </row>
    <row r="23" spans="1:10" x14ac:dyDescent="0.35">
      <c r="A23" s="70"/>
      <c r="B23" s="70"/>
      <c r="C23" s="71"/>
      <c r="D23" s="53" t="s">
        <v>32</v>
      </c>
      <c r="E23" s="53" t="s">
        <v>6</v>
      </c>
      <c r="F23" s="55">
        <v>106</v>
      </c>
      <c r="G23" s="55">
        <v>34</v>
      </c>
      <c r="H23" s="55">
        <v>7</v>
      </c>
      <c r="I23" s="55">
        <v>5</v>
      </c>
      <c r="J23" s="55">
        <v>1</v>
      </c>
    </row>
    <row r="24" spans="1:10" x14ac:dyDescent="0.35">
      <c r="A24" s="70"/>
      <c r="B24" s="70"/>
      <c r="C24" s="71"/>
      <c r="D24" s="53" t="s">
        <v>10</v>
      </c>
      <c r="E24" s="53" t="s">
        <v>11</v>
      </c>
      <c r="F24" s="57">
        <v>82</v>
      </c>
      <c r="G24" s="57">
        <v>38</v>
      </c>
      <c r="H24" s="58"/>
      <c r="I24" s="57">
        <v>6</v>
      </c>
      <c r="J24" s="58"/>
    </row>
    <row r="25" spans="1:10" x14ac:dyDescent="0.35">
      <c r="A25" s="70"/>
      <c r="B25" s="70"/>
      <c r="C25" s="71"/>
      <c r="D25" s="53" t="s">
        <v>10</v>
      </c>
      <c r="E25" s="53" t="s">
        <v>12</v>
      </c>
      <c r="F25" s="57">
        <v>119</v>
      </c>
      <c r="G25" s="57">
        <v>42</v>
      </c>
      <c r="H25" s="57">
        <v>2</v>
      </c>
      <c r="I25" s="57">
        <v>4</v>
      </c>
      <c r="J25" s="58"/>
    </row>
    <row r="26" spans="1:10" x14ac:dyDescent="0.35">
      <c r="A26" s="70"/>
      <c r="B26" s="70"/>
      <c r="C26" s="71"/>
      <c r="D26" s="53" t="s">
        <v>10</v>
      </c>
      <c r="E26" s="53" t="s">
        <v>13</v>
      </c>
      <c r="F26" s="57">
        <v>109</v>
      </c>
      <c r="G26" s="57">
        <v>30</v>
      </c>
      <c r="H26" s="57">
        <v>11</v>
      </c>
      <c r="I26" s="57">
        <v>5</v>
      </c>
      <c r="J26" s="57">
        <v>1</v>
      </c>
    </row>
    <row r="27" spans="1:10" x14ac:dyDescent="0.35">
      <c r="A27" s="70"/>
      <c r="B27" s="70"/>
      <c r="C27" s="71"/>
      <c r="D27" s="53" t="s">
        <v>16</v>
      </c>
      <c r="E27" s="53" t="s">
        <v>17</v>
      </c>
      <c r="F27" s="57">
        <v>419</v>
      </c>
      <c r="G27" s="57">
        <v>271</v>
      </c>
      <c r="H27" s="57">
        <v>39</v>
      </c>
      <c r="I27" s="57">
        <v>38</v>
      </c>
      <c r="J27" s="57">
        <v>1</v>
      </c>
    </row>
    <row r="28" spans="1:10" x14ac:dyDescent="0.35">
      <c r="A28" s="7" t="s">
        <v>346</v>
      </c>
      <c r="B28" s="7" t="s">
        <v>712</v>
      </c>
      <c r="C28" s="66">
        <v>4229</v>
      </c>
      <c r="D28" s="53" t="s">
        <v>14</v>
      </c>
      <c r="E28" s="53" t="s">
        <v>0</v>
      </c>
      <c r="F28" s="55">
        <v>2004</v>
      </c>
      <c r="G28" s="55">
        <v>2015</v>
      </c>
      <c r="H28" s="55">
        <v>328</v>
      </c>
      <c r="I28" s="55">
        <v>157</v>
      </c>
      <c r="J28" s="55">
        <v>184</v>
      </c>
    </row>
    <row r="29" spans="1:10" x14ac:dyDescent="0.35">
      <c r="A29" s="7"/>
      <c r="B29" s="7"/>
      <c r="C29" s="66"/>
      <c r="D29" s="53" t="s">
        <v>16</v>
      </c>
      <c r="E29" s="53" t="s">
        <v>7</v>
      </c>
      <c r="F29" s="57">
        <v>75</v>
      </c>
      <c r="G29" s="57">
        <v>73</v>
      </c>
      <c r="H29" s="57">
        <v>9</v>
      </c>
      <c r="I29" s="57">
        <v>5</v>
      </c>
      <c r="J29" s="58"/>
    </row>
    <row r="30" spans="1:10" x14ac:dyDescent="0.35">
      <c r="A30" s="7"/>
      <c r="B30" s="7"/>
      <c r="C30" s="66"/>
      <c r="D30" s="53" t="s">
        <v>16</v>
      </c>
      <c r="E30" s="53" t="s">
        <v>8</v>
      </c>
      <c r="F30" s="57">
        <v>471</v>
      </c>
      <c r="G30" s="57">
        <v>219</v>
      </c>
      <c r="H30" s="57">
        <v>71</v>
      </c>
      <c r="I30" s="57">
        <v>37</v>
      </c>
      <c r="J30" s="58"/>
    </row>
    <row r="31" spans="1:10" x14ac:dyDescent="0.35">
      <c r="A31" s="7"/>
      <c r="B31" s="7"/>
      <c r="C31" s="66"/>
      <c r="D31" s="53" t="s">
        <v>16</v>
      </c>
      <c r="E31" s="53" t="s">
        <v>9</v>
      </c>
      <c r="F31" s="57">
        <v>105</v>
      </c>
      <c r="G31" s="57">
        <v>74</v>
      </c>
      <c r="H31" s="57">
        <v>7</v>
      </c>
      <c r="I31" s="57">
        <v>5</v>
      </c>
      <c r="J31" s="58"/>
    </row>
    <row r="32" spans="1:10" x14ac:dyDescent="0.35">
      <c r="A32" s="7"/>
      <c r="B32" s="7"/>
      <c r="C32" s="66"/>
      <c r="D32" s="53" t="s">
        <v>16</v>
      </c>
      <c r="E32" s="53" t="s">
        <v>11</v>
      </c>
      <c r="F32" s="57">
        <v>105</v>
      </c>
      <c r="G32" s="57">
        <v>65</v>
      </c>
      <c r="H32" s="57">
        <v>8</v>
      </c>
      <c r="I32" s="57">
        <v>4</v>
      </c>
      <c r="J32" s="58"/>
    </row>
    <row r="33" spans="1:17" x14ac:dyDescent="0.35">
      <c r="A33" s="7" t="s">
        <v>333</v>
      </c>
      <c r="B33" s="7" t="s">
        <v>713</v>
      </c>
      <c r="C33" s="66">
        <v>3824</v>
      </c>
      <c r="D33" s="53" t="s">
        <v>14</v>
      </c>
      <c r="E33" s="53" t="s">
        <v>6</v>
      </c>
      <c r="F33" s="55">
        <v>72</v>
      </c>
      <c r="G33" s="55">
        <v>78</v>
      </c>
      <c r="H33" s="55">
        <v>6</v>
      </c>
      <c r="I33" s="55">
        <v>6</v>
      </c>
      <c r="J33" s="55">
        <v>2</v>
      </c>
    </row>
    <row r="34" spans="1:17" x14ac:dyDescent="0.35">
      <c r="A34" s="8"/>
      <c r="B34" s="8"/>
      <c r="C34" s="67"/>
      <c r="D34" s="53" t="s">
        <v>14</v>
      </c>
      <c r="E34" s="53" t="s">
        <v>15</v>
      </c>
      <c r="F34" s="55">
        <v>9</v>
      </c>
      <c r="G34" s="55">
        <v>457</v>
      </c>
      <c r="H34" s="55">
        <v>19</v>
      </c>
      <c r="I34" s="56"/>
      <c r="J34" s="56"/>
    </row>
    <row r="35" spans="1:17" x14ac:dyDescent="0.35">
      <c r="A35" s="68" t="s">
        <v>332</v>
      </c>
      <c r="B35" s="68" t="s">
        <v>714</v>
      </c>
      <c r="C35" s="69">
        <v>5926</v>
      </c>
      <c r="D35" s="53" t="s">
        <v>16</v>
      </c>
      <c r="E35" s="53" t="s">
        <v>3</v>
      </c>
      <c r="F35" s="57">
        <v>311</v>
      </c>
      <c r="G35" s="57">
        <v>54</v>
      </c>
      <c r="H35" s="57">
        <v>9</v>
      </c>
      <c r="I35" s="57">
        <v>6</v>
      </c>
      <c r="J35" s="58"/>
    </row>
    <row r="36" spans="1:17" x14ac:dyDescent="0.35">
      <c r="A36" s="70"/>
      <c r="B36" s="70"/>
      <c r="C36" s="71"/>
      <c r="D36" s="53" t="s">
        <v>16</v>
      </c>
      <c r="E36" s="53" t="s">
        <v>4</v>
      </c>
      <c r="F36" s="57">
        <v>185</v>
      </c>
      <c r="G36" s="57">
        <v>76</v>
      </c>
      <c r="H36" s="57">
        <v>5</v>
      </c>
      <c r="I36" s="57">
        <v>10</v>
      </c>
      <c r="J36" s="57">
        <v>3</v>
      </c>
      <c r="Q36" s="58"/>
    </row>
    <row r="37" spans="1:17" x14ac:dyDescent="0.35">
      <c r="A37" s="70"/>
      <c r="B37" s="70"/>
      <c r="C37" s="71"/>
      <c r="D37" s="53" t="s">
        <v>16</v>
      </c>
      <c r="E37" s="53" t="s">
        <v>5</v>
      </c>
      <c r="F37" s="57">
        <v>252</v>
      </c>
      <c r="G37" s="57">
        <v>79</v>
      </c>
      <c r="H37" s="57">
        <v>15</v>
      </c>
      <c r="I37" s="57">
        <v>10</v>
      </c>
      <c r="J37" s="58"/>
    </row>
    <row r="38" spans="1:17" x14ac:dyDescent="0.35">
      <c r="A38" s="70"/>
      <c r="B38" s="70"/>
      <c r="C38" s="71"/>
      <c r="D38" s="53" t="s">
        <v>16</v>
      </c>
      <c r="E38" s="53" t="s">
        <v>6</v>
      </c>
      <c r="F38" s="57">
        <v>459</v>
      </c>
      <c r="G38" s="57">
        <v>263</v>
      </c>
      <c r="H38" s="57">
        <v>31</v>
      </c>
      <c r="I38" s="57">
        <v>31</v>
      </c>
      <c r="J38" s="57">
        <v>1</v>
      </c>
    </row>
    <row r="39" spans="1:17" x14ac:dyDescent="0.35">
      <c r="A39" s="70"/>
      <c r="B39" s="70"/>
      <c r="C39" s="71"/>
      <c r="D39" s="53" t="s">
        <v>18</v>
      </c>
      <c r="E39" s="53" t="s">
        <v>3</v>
      </c>
      <c r="F39" s="55">
        <v>369</v>
      </c>
      <c r="G39" s="55">
        <v>235</v>
      </c>
      <c r="H39" s="55">
        <v>38</v>
      </c>
      <c r="I39" s="55">
        <v>32</v>
      </c>
      <c r="J39" s="56"/>
    </row>
    <row r="40" spans="1:17" x14ac:dyDescent="0.35">
      <c r="A40" s="70"/>
      <c r="B40" s="70"/>
      <c r="C40" s="71"/>
      <c r="D40" s="53" t="s">
        <v>18</v>
      </c>
      <c r="E40" s="53" t="s">
        <v>5</v>
      </c>
      <c r="F40" s="55">
        <v>711</v>
      </c>
      <c r="G40" s="55">
        <v>429</v>
      </c>
      <c r="H40" s="55">
        <v>84</v>
      </c>
      <c r="I40" s="55">
        <v>59</v>
      </c>
      <c r="J40" s="56"/>
    </row>
    <row r="41" spans="1:17" x14ac:dyDescent="0.35">
      <c r="A41" s="7" t="s">
        <v>334</v>
      </c>
      <c r="B41" s="7" t="s">
        <v>715</v>
      </c>
      <c r="C41" s="66">
        <v>5799</v>
      </c>
      <c r="D41" s="53" t="s">
        <v>1</v>
      </c>
      <c r="E41" s="53" t="s">
        <v>8</v>
      </c>
      <c r="F41" s="55">
        <v>1052</v>
      </c>
      <c r="G41" s="55">
        <v>544</v>
      </c>
      <c r="H41" s="55">
        <v>66</v>
      </c>
      <c r="I41" s="55">
        <v>57</v>
      </c>
      <c r="J41" s="55">
        <v>1</v>
      </c>
    </row>
    <row r="42" spans="1:17" x14ac:dyDescent="0.35">
      <c r="A42" s="8"/>
      <c r="B42" s="8"/>
      <c r="C42" s="67"/>
      <c r="D42" s="53" t="s">
        <v>1</v>
      </c>
      <c r="E42" s="53" t="s">
        <v>9</v>
      </c>
      <c r="F42" s="55">
        <v>120</v>
      </c>
      <c r="G42" s="55">
        <v>48</v>
      </c>
      <c r="H42" s="55">
        <v>2</v>
      </c>
      <c r="I42" s="55">
        <v>10</v>
      </c>
      <c r="J42" s="56"/>
    </row>
    <row r="43" spans="1:17" x14ac:dyDescent="0.35">
      <c r="A43" s="8"/>
      <c r="B43" s="8"/>
      <c r="C43" s="67"/>
      <c r="D43" s="53" t="s">
        <v>18</v>
      </c>
      <c r="E43" s="53" t="s">
        <v>17</v>
      </c>
      <c r="F43" s="55">
        <v>203</v>
      </c>
      <c r="G43" s="55">
        <v>115</v>
      </c>
      <c r="H43" s="55">
        <v>14</v>
      </c>
      <c r="I43" s="56"/>
      <c r="J43" s="55">
        <v>2</v>
      </c>
    </row>
    <row r="44" spans="1:17" x14ac:dyDescent="0.35">
      <c r="A44" s="8"/>
      <c r="B44" s="8"/>
      <c r="C44" s="67"/>
      <c r="D44" s="53" t="s">
        <v>18</v>
      </c>
      <c r="E44" s="53" t="s">
        <v>2</v>
      </c>
      <c r="F44" s="55">
        <v>232</v>
      </c>
      <c r="G44" s="55">
        <v>170</v>
      </c>
      <c r="H44" s="55">
        <v>32</v>
      </c>
      <c r="I44" s="55">
        <v>20</v>
      </c>
      <c r="J44" s="56"/>
    </row>
    <row r="45" spans="1:17" x14ac:dyDescent="0.35">
      <c r="A45" s="8"/>
      <c r="C45" s="2"/>
      <c r="D45" s="53" t="s">
        <v>18</v>
      </c>
      <c r="E45" s="53" t="s">
        <v>4</v>
      </c>
      <c r="F45" s="55">
        <v>600</v>
      </c>
      <c r="G45" s="55">
        <v>207</v>
      </c>
      <c r="H45" s="55">
        <v>33</v>
      </c>
      <c r="I45" s="55">
        <v>23</v>
      </c>
      <c r="J45" s="55">
        <v>2</v>
      </c>
    </row>
    <row r="46" spans="1:17" x14ac:dyDescent="0.35">
      <c r="A46" s="8"/>
      <c r="B46" s="8"/>
      <c r="C46" s="67"/>
      <c r="D46" s="53"/>
      <c r="E46" s="53"/>
      <c r="F46" s="55"/>
      <c r="G46" s="55"/>
      <c r="H46" s="55"/>
      <c r="I46" s="55"/>
      <c r="J46" s="56"/>
    </row>
    <row r="47" spans="1:17" x14ac:dyDescent="0.35">
      <c r="A47" s="68" t="s">
        <v>260</v>
      </c>
      <c r="B47" s="68" t="s">
        <v>261</v>
      </c>
      <c r="C47" s="69">
        <v>5010</v>
      </c>
      <c r="D47" s="53" t="s">
        <v>19</v>
      </c>
      <c r="E47" s="53" t="s">
        <v>2</v>
      </c>
      <c r="F47" s="57">
        <v>599</v>
      </c>
      <c r="G47" s="57">
        <v>354</v>
      </c>
      <c r="H47" s="57">
        <v>21</v>
      </c>
      <c r="I47" s="57">
        <v>45</v>
      </c>
      <c r="J47" s="57">
        <v>3</v>
      </c>
    </row>
    <row r="48" spans="1:17" x14ac:dyDescent="0.35">
      <c r="A48" s="68"/>
      <c r="B48" s="68"/>
      <c r="C48" s="69"/>
      <c r="D48" s="53" t="s">
        <v>19</v>
      </c>
      <c r="E48" s="53" t="s">
        <v>5</v>
      </c>
      <c r="F48" s="57">
        <v>569</v>
      </c>
      <c r="G48" s="57">
        <v>317</v>
      </c>
      <c r="H48" s="57">
        <v>27</v>
      </c>
      <c r="I48" s="57">
        <v>40</v>
      </c>
      <c r="J48" s="57">
        <v>2</v>
      </c>
    </row>
    <row r="49" spans="1:15" x14ac:dyDescent="0.35">
      <c r="A49" s="68"/>
      <c r="B49" s="68"/>
      <c r="C49" s="69"/>
      <c r="D49" s="53" t="s">
        <v>19</v>
      </c>
      <c r="E49" s="53" t="s">
        <v>6</v>
      </c>
      <c r="F49" s="57">
        <v>987</v>
      </c>
      <c r="G49" s="57">
        <v>326</v>
      </c>
      <c r="H49" s="57">
        <v>21</v>
      </c>
      <c r="I49" s="57">
        <v>57</v>
      </c>
      <c r="J49" s="58"/>
      <c r="K49" s="2">
        <f>SUM(F47:F49)</f>
        <v>2155</v>
      </c>
      <c r="L49" s="2">
        <f t="shared" ref="L49:O49" si="0">SUM(G47:G49)</f>
        <v>997</v>
      </c>
      <c r="M49" s="2">
        <f t="shared" si="0"/>
        <v>69</v>
      </c>
      <c r="N49" s="2">
        <f t="shared" si="0"/>
        <v>142</v>
      </c>
      <c r="O49" s="2">
        <f t="shared" si="0"/>
        <v>5</v>
      </c>
    </row>
    <row r="50" spans="1:15" x14ac:dyDescent="0.35">
      <c r="A50" s="68" t="s">
        <v>262</v>
      </c>
      <c r="B50" s="68" t="s">
        <v>263</v>
      </c>
      <c r="C50" s="69">
        <v>4399</v>
      </c>
      <c r="D50" s="53" t="s">
        <v>19</v>
      </c>
      <c r="E50" s="53" t="s">
        <v>17</v>
      </c>
      <c r="F50" s="57">
        <v>627</v>
      </c>
      <c r="G50" s="57">
        <v>282</v>
      </c>
      <c r="H50" s="57">
        <v>26</v>
      </c>
      <c r="I50" s="58"/>
      <c r="J50" s="58"/>
    </row>
    <row r="51" spans="1:15" x14ac:dyDescent="0.35">
      <c r="A51" s="68"/>
      <c r="B51" s="68"/>
      <c r="C51" s="69"/>
      <c r="D51" s="53" t="s">
        <v>19</v>
      </c>
      <c r="E51" s="53" t="s">
        <v>3</v>
      </c>
      <c r="F51" s="57">
        <v>304</v>
      </c>
      <c r="G51" s="57">
        <v>88</v>
      </c>
      <c r="H51" s="57">
        <v>11</v>
      </c>
      <c r="I51" s="57">
        <v>13</v>
      </c>
      <c r="J51" s="58"/>
    </row>
    <row r="52" spans="1:15" x14ac:dyDescent="0.35">
      <c r="C52" s="2"/>
      <c r="D52" s="53" t="s">
        <v>19</v>
      </c>
      <c r="E52" s="53" t="s">
        <v>4</v>
      </c>
      <c r="F52" s="57">
        <v>700</v>
      </c>
      <c r="G52" s="57">
        <v>296</v>
      </c>
      <c r="H52" s="57">
        <v>27</v>
      </c>
      <c r="I52" s="57">
        <v>31</v>
      </c>
      <c r="J52" s="58"/>
    </row>
    <row r="53" spans="1:15" x14ac:dyDescent="0.35">
      <c r="A53" s="70"/>
      <c r="B53" s="70"/>
      <c r="C53" s="71"/>
      <c r="D53" s="53" t="s">
        <v>19</v>
      </c>
      <c r="E53" s="53" t="s">
        <v>7</v>
      </c>
      <c r="F53" s="57">
        <v>291</v>
      </c>
      <c r="G53" s="57">
        <v>90</v>
      </c>
      <c r="H53" s="57">
        <v>6</v>
      </c>
      <c r="I53" s="57">
        <v>8</v>
      </c>
      <c r="J53" s="57">
        <v>1</v>
      </c>
      <c r="K53" s="2">
        <f>SUM(F50:F53)</f>
        <v>1922</v>
      </c>
      <c r="L53" s="2">
        <f t="shared" ref="L53:O53" si="1">SUM(G50:G53)</f>
        <v>756</v>
      </c>
      <c r="M53" s="2">
        <f t="shared" si="1"/>
        <v>70</v>
      </c>
      <c r="N53" s="2">
        <f t="shared" si="1"/>
        <v>52</v>
      </c>
      <c r="O53" s="2">
        <f t="shared" si="1"/>
        <v>1</v>
      </c>
    </row>
    <row r="54" spans="1:15" x14ac:dyDescent="0.35">
      <c r="A54" s="7" t="s">
        <v>264</v>
      </c>
      <c r="B54" s="7" t="s">
        <v>265</v>
      </c>
      <c r="C54" s="66">
        <v>3769</v>
      </c>
      <c r="D54" s="53" t="s">
        <v>20</v>
      </c>
      <c r="E54" s="53" t="s">
        <v>17</v>
      </c>
      <c r="F54" s="55">
        <v>97</v>
      </c>
      <c r="G54" s="55">
        <v>38</v>
      </c>
      <c r="H54" s="55">
        <v>2</v>
      </c>
      <c r="I54" s="56"/>
      <c r="J54" s="56"/>
    </row>
    <row r="55" spans="1:15" x14ac:dyDescent="0.35">
      <c r="A55" s="8"/>
      <c r="B55" s="8"/>
      <c r="C55" s="67"/>
      <c r="D55" s="53" t="s">
        <v>20</v>
      </c>
      <c r="E55" s="53" t="s">
        <v>2</v>
      </c>
      <c r="F55" s="55">
        <v>140</v>
      </c>
      <c r="G55" s="55">
        <v>32</v>
      </c>
      <c r="H55" s="55">
        <v>4</v>
      </c>
      <c r="I55" s="56"/>
      <c r="J55" s="56"/>
    </row>
    <row r="56" spans="1:15" x14ac:dyDescent="0.35">
      <c r="A56" s="8"/>
      <c r="B56" s="8"/>
      <c r="C56" s="67"/>
      <c r="D56" s="53" t="s">
        <v>20</v>
      </c>
      <c r="E56" s="53" t="s">
        <v>3</v>
      </c>
      <c r="F56" s="55">
        <v>147</v>
      </c>
      <c r="G56" s="55">
        <v>43</v>
      </c>
      <c r="H56" s="55">
        <v>5</v>
      </c>
      <c r="I56" s="55">
        <v>5</v>
      </c>
      <c r="J56" s="56"/>
    </row>
    <row r="57" spans="1:15" x14ac:dyDescent="0.35">
      <c r="A57" s="8"/>
      <c r="B57" s="8"/>
      <c r="C57" s="67"/>
      <c r="D57" s="53" t="s">
        <v>20</v>
      </c>
      <c r="E57" s="53" t="s">
        <v>4</v>
      </c>
      <c r="F57" s="55">
        <v>50</v>
      </c>
      <c r="G57" s="55">
        <v>2</v>
      </c>
      <c r="H57" s="56"/>
      <c r="I57" s="56"/>
      <c r="J57" s="56"/>
    </row>
    <row r="58" spans="1:15" x14ac:dyDescent="0.35">
      <c r="A58" s="8"/>
      <c r="B58" s="8"/>
      <c r="C58" s="67"/>
      <c r="D58" s="53" t="s">
        <v>20</v>
      </c>
      <c r="E58" s="53" t="s">
        <v>5</v>
      </c>
      <c r="F58" s="55">
        <v>76</v>
      </c>
      <c r="G58" s="55">
        <v>16</v>
      </c>
      <c r="H58" s="55">
        <v>1</v>
      </c>
      <c r="I58" s="55">
        <v>4</v>
      </c>
      <c r="J58" s="56"/>
    </row>
    <row r="59" spans="1:15" x14ac:dyDescent="0.35">
      <c r="A59" s="8"/>
      <c r="B59" s="8"/>
      <c r="C59" s="67"/>
      <c r="D59" s="53" t="s">
        <v>20</v>
      </c>
      <c r="E59" s="53" t="s">
        <v>6</v>
      </c>
      <c r="F59" s="55">
        <v>56</v>
      </c>
      <c r="G59" s="55">
        <v>24</v>
      </c>
      <c r="H59" s="55">
        <v>5</v>
      </c>
      <c r="I59" s="55">
        <v>11</v>
      </c>
      <c r="J59" s="56"/>
    </row>
    <row r="60" spans="1:15" x14ac:dyDescent="0.35">
      <c r="A60" s="8"/>
      <c r="B60" s="8"/>
      <c r="C60" s="67"/>
      <c r="D60" s="53" t="s">
        <v>20</v>
      </c>
      <c r="E60" s="53" t="s">
        <v>7</v>
      </c>
      <c r="F60" s="55">
        <v>95</v>
      </c>
      <c r="G60" s="55">
        <v>33</v>
      </c>
      <c r="H60" s="55">
        <v>3</v>
      </c>
      <c r="I60" s="55">
        <v>8</v>
      </c>
      <c r="J60" s="56"/>
    </row>
    <row r="61" spans="1:15" x14ac:dyDescent="0.35">
      <c r="A61" s="8"/>
      <c r="B61" s="8"/>
      <c r="C61" s="67"/>
      <c r="D61" s="53" t="s">
        <v>20</v>
      </c>
      <c r="E61" s="53" t="s">
        <v>8</v>
      </c>
      <c r="F61" s="55">
        <v>99</v>
      </c>
      <c r="G61" s="55">
        <v>44</v>
      </c>
      <c r="H61" s="55">
        <v>2</v>
      </c>
      <c r="I61" s="55">
        <v>4</v>
      </c>
      <c r="J61" s="56"/>
    </row>
    <row r="62" spans="1:15" x14ac:dyDescent="0.35">
      <c r="A62" s="8"/>
      <c r="B62" s="8"/>
      <c r="C62" s="67"/>
      <c r="D62" s="53" t="s">
        <v>20</v>
      </c>
      <c r="E62" s="53" t="s">
        <v>9</v>
      </c>
      <c r="F62" s="55">
        <v>48</v>
      </c>
      <c r="G62" s="55">
        <v>26</v>
      </c>
      <c r="H62" s="55">
        <v>7</v>
      </c>
      <c r="I62" s="55">
        <v>5</v>
      </c>
      <c r="J62" s="56"/>
    </row>
    <row r="63" spans="1:15" x14ac:dyDescent="0.35">
      <c r="A63" s="8"/>
      <c r="B63" s="8"/>
      <c r="C63" s="67"/>
      <c r="D63" s="53" t="s">
        <v>20</v>
      </c>
      <c r="E63" s="53" t="s">
        <v>11</v>
      </c>
      <c r="F63" s="55">
        <v>156</v>
      </c>
      <c r="G63" s="55">
        <v>85</v>
      </c>
      <c r="H63" s="55">
        <v>10</v>
      </c>
      <c r="I63" s="55">
        <v>11</v>
      </c>
      <c r="J63" s="55">
        <v>1</v>
      </c>
    </row>
    <row r="64" spans="1:15" x14ac:dyDescent="0.35">
      <c r="A64" s="8"/>
      <c r="B64" s="8"/>
      <c r="C64" s="67"/>
      <c r="D64" s="53" t="s">
        <v>20</v>
      </c>
      <c r="E64" s="53" t="s">
        <v>12</v>
      </c>
      <c r="F64" s="55">
        <v>100</v>
      </c>
      <c r="G64" s="55">
        <v>22</v>
      </c>
      <c r="H64" s="55">
        <v>1</v>
      </c>
      <c r="I64" s="55">
        <v>4</v>
      </c>
      <c r="J64" s="56"/>
    </row>
    <row r="65" spans="1:15" x14ac:dyDescent="0.35">
      <c r="A65" s="8"/>
      <c r="B65" s="8"/>
      <c r="C65" s="67"/>
      <c r="D65" s="53" t="s">
        <v>20</v>
      </c>
      <c r="E65" s="53" t="s">
        <v>13</v>
      </c>
      <c r="F65" s="55">
        <v>224</v>
      </c>
      <c r="G65" s="55">
        <v>63</v>
      </c>
      <c r="H65" s="55">
        <v>12</v>
      </c>
      <c r="I65" s="55">
        <v>11</v>
      </c>
      <c r="J65" s="56"/>
    </row>
    <row r="66" spans="1:15" x14ac:dyDescent="0.35">
      <c r="A66" s="8"/>
      <c r="B66" s="8"/>
      <c r="C66" s="67"/>
      <c r="D66" s="53" t="s">
        <v>20</v>
      </c>
      <c r="E66" s="53" t="s">
        <v>21</v>
      </c>
      <c r="F66" s="55">
        <v>111</v>
      </c>
      <c r="G66" s="55">
        <v>97</v>
      </c>
      <c r="H66" s="55">
        <v>5</v>
      </c>
      <c r="I66" s="55">
        <v>7</v>
      </c>
      <c r="J66" s="56"/>
    </row>
    <row r="67" spans="1:15" x14ac:dyDescent="0.35">
      <c r="A67" s="8"/>
      <c r="B67" s="8"/>
      <c r="C67" s="67"/>
      <c r="D67" s="53" t="s">
        <v>20</v>
      </c>
      <c r="E67" s="53" t="s">
        <v>22</v>
      </c>
      <c r="F67" s="55">
        <v>85</v>
      </c>
      <c r="G67" s="55">
        <v>15</v>
      </c>
      <c r="H67" s="55">
        <v>1</v>
      </c>
      <c r="I67" s="55">
        <v>5</v>
      </c>
      <c r="J67" s="56"/>
      <c r="K67" s="2">
        <f>SUM(F54:F67)</f>
        <v>1484</v>
      </c>
      <c r="L67" s="2">
        <f t="shared" ref="L67:O67" si="2">SUM(G54:G67)</f>
        <v>540</v>
      </c>
      <c r="M67" s="2">
        <f t="shared" si="2"/>
        <v>58</v>
      </c>
      <c r="N67" s="2">
        <f t="shared" si="2"/>
        <v>75</v>
      </c>
      <c r="O67" s="2">
        <f t="shared" si="2"/>
        <v>1</v>
      </c>
    </row>
    <row r="68" spans="1:15" x14ac:dyDescent="0.35">
      <c r="A68" s="68" t="s">
        <v>266</v>
      </c>
      <c r="B68" s="68" t="s">
        <v>267</v>
      </c>
      <c r="C68" s="69">
        <v>1974</v>
      </c>
      <c r="D68" s="53" t="s">
        <v>23</v>
      </c>
      <c r="E68" s="53" t="s">
        <v>17</v>
      </c>
      <c r="F68" s="57">
        <v>179</v>
      </c>
      <c r="G68" s="57">
        <v>59</v>
      </c>
      <c r="H68" s="57">
        <v>7</v>
      </c>
      <c r="I68" s="58"/>
      <c r="J68" s="57">
        <v>1</v>
      </c>
    </row>
    <row r="69" spans="1:15" x14ac:dyDescent="0.35">
      <c r="A69" s="70"/>
      <c r="B69" s="70"/>
      <c r="C69" s="71"/>
      <c r="D69" s="53" t="s">
        <v>23</v>
      </c>
      <c r="E69" s="53" t="s">
        <v>2</v>
      </c>
      <c r="F69" s="57">
        <v>270</v>
      </c>
      <c r="G69" s="57">
        <v>42</v>
      </c>
      <c r="H69" s="57">
        <v>7</v>
      </c>
      <c r="I69" s="58"/>
      <c r="J69" s="57">
        <v>1</v>
      </c>
    </row>
    <row r="70" spans="1:15" x14ac:dyDescent="0.35">
      <c r="A70" s="70"/>
      <c r="B70" s="70"/>
      <c r="C70" s="71"/>
      <c r="D70" s="53" t="s">
        <v>23</v>
      </c>
      <c r="E70" s="53" t="s">
        <v>3</v>
      </c>
      <c r="F70" s="57">
        <v>58</v>
      </c>
      <c r="G70" s="57">
        <v>42</v>
      </c>
      <c r="H70" s="57">
        <v>2</v>
      </c>
      <c r="I70" s="58"/>
      <c r="J70" s="58"/>
    </row>
    <row r="71" spans="1:15" x14ac:dyDescent="0.35">
      <c r="A71" s="70"/>
      <c r="B71" s="70"/>
      <c r="C71" s="71"/>
      <c r="D71" s="53" t="s">
        <v>23</v>
      </c>
      <c r="E71" s="53" t="s">
        <v>4</v>
      </c>
      <c r="F71" s="57">
        <v>79</v>
      </c>
      <c r="G71" s="57">
        <v>20</v>
      </c>
      <c r="H71" s="58"/>
      <c r="I71" s="58"/>
      <c r="J71" s="58"/>
      <c r="K71" s="2">
        <f>SUM(F68:F71)</f>
        <v>586</v>
      </c>
      <c r="L71" s="2">
        <f t="shared" ref="L71:O71" si="3">SUM(G68:G71)</f>
        <v>163</v>
      </c>
      <c r="M71" s="2">
        <f t="shared" si="3"/>
        <v>16</v>
      </c>
      <c r="N71" s="2">
        <f t="shared" si="3"/>
        <v>0</v>
      </c>
      <c r="O71" s="2">
        <f t="shared" si="3"/>
        <v>2</v>
      </c>
    </row>
    <row r="72" spans="1:15" x14ac:dyDescent="0.35">
      <c r="A72" s="7" t="s">
        <v>268</v>
      </c>
      <c r="B72" s="7" t="s">
        <v>269</v>
      </c>
      <c r="C72" s="66">
        <v>4531</v>
      </c>
      <c r="D72" s="53" t="s">
        <v>24</v>
      </c>
      <c r="E72" s="53" t="s">
        <v>17</v>
      </c>
      <c r="F72" s="55">
        <v>215</v>
      </c>
      <c r="G72" s="55">
        <v>52</v>
      </c>
      <c r="H72" s="55">
        <v>7</v>
      </c>
      <c r="I72" s="55">
        <v>28</v>
      </c>
      <c r="J72" s="55">
        <v>1</v>
      </c>
    </row>
    <row r="73" spans="1:15" x14ac:dyDescent="0.35">
      <c r="A73" s="8"/>
      <c r="B73" s="8"/>
      <c r="C73" s="67"/>
      <c r="D73" s="53" t="s">
        <v>24</v>
      </c>
      <c r="E73" s="53" t="s">
        <v>2</v>
      </c>
      <c r="F73" s="55">
        <v>53</v>
      </c>
      <c r="G73" s="55">
        <v>8</v>
      </c>
      <c r="H73" s="55">
        <v>2</v>
      </c>
      <c r="I73" s="55">
        <v>5</v>
      </c>
      <c r="J73" s="56"/>
    </row>
    <row r="74" spans="1:15" x14ac:dyDescent="0.35">
      <c r="A74" s="8"/>
      <c r="B74" s="8"/>
      <c r="C74" s="67"/>
      <c r="D74" s="53" t="s">
        <v>24</v>
      </c>
      <c r="E74" s="53" t="s">
        <v>3</v>
      </c>
      <c r="F74" s="55">
        <v>32</v>
      </c>
      <c r="G74" s="55">
        <v>28</v>
      </c>
      <c r="H74" s="55">
        <v>1</v>
      </c>
      <c r="I74" s="55">
        <v>1</v>
      </c>
      <c r="J74" s="56"/>
    </row>
    <row r="75" spans="1:15" x14ac:dyDescent="0.35">
      <c r="A75" s="8"/>
      <c r="B75" s="8"/>
      <c r="C75" s="67"/>
      <c r="D75" s="53" t="s">
        <v>24</v>
      </c>
      <c r="E75" s="53" t="s">
        <v>4</v>
      </c>
      <c r="F75" s="55">
        <v>197</v>
      </c>
      <c r="G75" s="55">
        <v>27</v>
      </c>
      <c r="H75" s="55">
        <v>10</v>
      </c>
      <c r="I75" s="55">
        <v>4</v>
      </c>
      <c r="J75" s="56"/>
    </row>
    <row r="76" spans="1:15" x14ac:dyDescent="0.35">
      <c r="A76" s="8"/>
      <c r="B76" s="8"/>
      <c r="C76" s="67"/>
      <c r="D76" s="53" t="s">
        <v>24</v>
      </c>
      <c r="E76" s="53" t="s">
        <v>5</v>
      </c>
      <c r="F76" s="55">
        <v>250</v>
      </c>
      <c r="G76" s="55">
        <v>42</v>
      </c>
      <c r="H76" s="55">
        <v>9</v>
      </c>
      <c r="I76" s="55">
        <v>9</v>
      </c>
      <c r="J76" s="56"/>
    </row>
    <row r="77" spans="1:15" x14ac:dyDescent="0.35">
      <c r="A77" s="8"/>
      <c r="B77" s="8"/>
      <c r="C77" s="67"/>
      <c r="D77" s="53" t="s">
        <v>24</v>
      </c>
      <c r="E77" s="53" t="s">
        <v>6</v>
      </c>
      <c r="F77" s="55">
        <v>251</v>
      </c>
      <c r="G77" s="55">
        <v>78</v>
      </c>
      <c r="H77" s="55">
        <v>11</v>
      </c>
      <c r="I77" s="55">
        <v>11</v>
      </c>
      <c r="J77" s="55">
        <v>1</v>
      </c>
    </row>
    <row r="78" spans="1:15" x14ac:dyDescent="0.35">
      <c r="A78" s="8"/>
      <c r="B78" s="8"/>
      <c r="C78" s="67"/>
      <c r="D78" s="53" t="s">
        <v>24</v>
      </c>
      <c r="E78" s="53" t="s">
        <v>7</v>
      </c>
      <c r="F78" s="55">
        <v>271</v>
      </c>
      <c r="G78" s="55">
        <v>47</v>
      </c>
      <c r="H78" s="55">
        <v>9</v>
      </c>
      <c r="I78" s="55">
        <v>6</v>
      </c>
      <c r="J78" s="56"/>
    </row>
    <row r="79" spans="1:15" x14ac:dyDescent="0.35">
      <c r="A79" s="8"/>
      <c r="B79" s="8"/>
      <c r="C79" s="67"/>
      <c r="D79" s="53" t="s">
        <v>24</v>
      </c>
      <c r="E79" s="53" t="s">
        <v>8</v>
      </c>
      <c r="F79" s="55">
        <v>85</v>
      </c>
      <c r="G79" s="55">
        <v>25</v>
      </c>
      <c r="H79" s="55">
        <v>10</v>
      </c>
      <c r="I79" s="55">
        <v>2</v>
      </c>
      <c r="J79" s="56"/>
    </row>
    <row r="80" spans="1:15" x14ac:dyDescent="0.35">
      <c r="A80" s="8"/>
      <c r="B80" s="8"/>
      <c r="C80" s="67"/>
      <c r="D80" s="53" t="s">
        <v>24</v>
      </c>
      <c r="E80" s="53" t="s">
        <v>9</v>
      </c>
      <c r="F80" s="55">
        <v>201</v>
      </c>
      <c r="G80" s="55">
        <v>17</v>
      </c>
      <c r="H80" s="55">
        <v>4</v>
      </c>
      <c r="I80" s="55">
        <v>8</v>
      </c>
      <c r="J80" s="56"/>
    </row>
    <row r="81" spans="1:17" x14ac:dyDescent="0.35">
      <c r="A81" s="8"/>
      <c r="B81" s="8"/>
      <c r="C81" s="67"/>
      <c r="D81" s="53" t="s">
        <v>24</v>
      </c>
      <c r="E81" s="53" t="s">
        <v>11</v>
      </c>
      <c r="F81" s="55">
        <v>73</v>
      </c>
      <c r="G81" s="55">
        <v>23</v>
      </c>
      <c r="H81" s="55">
        <v>3</v>
      </c>
      <c r="I81" s="55">
        <v>8</v>
      </c>
      <c r="J81" s="56"/>
    </row>
    <row r="82" spans="1:17" x14ac:dyDescent="0.35">
      <c r="A82" s="8"/>
      <c r="B82" s="8"/>
      <c r="C82" s="67"/>
      <c r="D82" s="53" t="s">
        <v>24</v>
      </c>
      <c r="E82" s="53" t="s">
        <v>12</v>
      </c>
      <c r="F82" s="55">
        <v>104</v>
      </c>
      <c r="G82" s="55">
        <v>39</v>
      </c>
      <c r="H82" s="55">
        <v>5</v>
      </c>
      <c r="I82" s="55">
        <v>7</v>
      </c>
      <c r="J82" s="56"/>
      <c r="K82" s="2">
        <f>SUM(F72:F82)</f>
        <v>1732</v>
      </c>
      <c r="L82" s="2">
        <f t="shared" ref="L82:O82" si="4">SUM(G72:G82)</f>
        <v>386</v>
      </c>
      <c r="M82" s="2">
        <f t="shared" si="4"/>
        <v>71</v>
      </c>
      <c r="N82" s="2">
        <f t="shared" si="4"/>
        <v>89</v>
      </c>
      <c r="O82" s="2">
        <f t="shared" si="4"/>
        <v>2</v>
      </c>
      <c r="Q82" s="168"/>
    </row>
    <row r="83" spans="1:17" x14ac:dyDescent="0.35">
      <c r="A83" s="68" t="s">
        <v>270</v>
      </c>
      <c r="B83" s="68" t="s">
        <v>271</v>
      </c>
      <c r="C83" s="69">
        <v>1731</v>
      </c>
      <c r="D83" s="53" t="s">
        <v>25</v>
      </c>
      <c r="E83" s="53" t="s">
        <v>17</v>
      </c>
      <c r="F83" s="57">
        <v>140</v>
      </c>
      <c r="G83" s="57">
        <v>34</v>
      </c>
      <c r="H83" s="57">
        <v>2</v>
      </c>
      <c r="I83" s="58"/>
      <c r="J83" s="58"/>
    </row>
    <row r="84" spans="1:17" x14ac:dyDescent="0.35">
      <c r="C84" s="2"/>
      <c r="D84" s="53" t="s">
        <v>25</v>
      </c>
      <c r="E84" s="53" t="s">
        <v>2</v>
      </c>
      <c r="F84" s="57">
        <v>222</v>
      </c>
      <c r="G84" s="57">
        <v>58</v>
      </c>
      <c r="H84" s="57">
        <v>3</v>
      </c>
      <c r="I84" s="58"/>
      <c r="J84" s="58"/>
    </row>
    <row r="85" spans="1:17" x14ac:dyDescent="0.35">
      <c r="A85" s="70"/>
      <c r="B85" s="70"/>
      <c r="C85" s="71"/>
      <c r="D85" s="53" t="s">
        <v>25</v>
      </c>
      <c r="E85" s="53" t="s">
        <v>3</v>
      </c>
      <c r="F85" s="57">
        <v>262</v>
      </c>
      <c r="G85" s="57">
        <v>91</v>
      </c>
      <c r="H85" s="57">
        <v>2</v>
      </c>
      <c r="I85" s="58"/>
      <c r="J85" s="58"/>
      <c r="K85" s="2">
        <f>SUM(F83:F85)</f>
        <v>624</v>
      </c>
      <c r="L85" s="2">
        <f t="shared" ref="L85:O85" si="5">SUM(G83:G85)</f>
        <v>183</v>
      </c>
      <c r="M85" s="2">
        <f t="shared" si="5"/>
        <v>7</v>
      </c>
      <c r="N85" s="2">
        <f t="shared" si="5"/>
        <v>0</v>
      </c>
      <c r="O85" s="2">
        <f t="shared" si="5"/>
        <v>0</v>
      </c>
    </row>
    <row r="86" spans="1:17" x14ac:dyDescent="0.35">
      <c r="A86" s="68" t="s">
        <v>272</v>
      </c>
      <c r="B86" s="68" t="s">
        <v>273</v>
      </c>
      <c r="C86" s="69">
        <v>1279</v>
      </c>
      <c r="D86" s="53" t="s">
        <v>25</v>
      </c>
      <c r="E86" s="53" t="s">
        <v>4</v>
      </c>
      <c r="F86" s="57">
        <v>146</v>
      </c>
      <c r="G86" s="57">
        <v>50</v>
      </c>
      <c r="H86" s="57">
        <v>13</v>
      </c>
      <c r="I86" s="58"/>
      <c r="J86" s="57">
        <v>1</v>
      </c>
    </row>
    <row r="87" spans="1:17" x14ac:dyDescent="0.35">
      <c r="A87" s="70"/>
      <c r="B87" s="70"/>
      <c r="C87" s="71"/>
      <c r="D87" s="53" t="s">
        <v>25</v>
      </c>
      <c r="E87" s="53" t="s">
        <v>5</v>
      </c>
      <c r="F87" s="57">
        <v>142</v>
      </c>
      <c r="G87" s="57">
        <v>28</v>
      </c>
      <c r="H87" s="58"/>
      <c r="I87" s="57">
        <v>3</v>
      </c>
      <c r="J87" s="58"/>
    </row>
    <row r="88" spans="1:17" x14ac:dyDescent="0.35">
      <c r="A88" s="70"/>
      <c r="B88" s="70"/>
      <c r="C88" s="71"/>
      <c r="D88" s="53" t="s">
        <v>25</v>
      </c>
      <c r="E88" s="53" t="s">
        <v>6</v>
      </c>
      <c r="F88" s="57">
        <v>87</v>
      </c>
      <c r="G88" s="57">
        <v>24</v>
      </c>
      <c r="H88" s="57">
        <v>4</v>
      </c>
      <c r="I88" s="57">
        <v>8</v>
      </c>
      <c r="J88" s="58"/>
      <c r="K88" s="2">
        <f>SUM(F86:F88)</f>
        <v>375</v>
      </c>
      <c r="L88" s="2">
        <f t="shared" ref="L88:O88" si="6">SUM(G86:G88)</f>
        <v>102</v>
      </c>
      <c r="M88" s="2">
        <f t="shared" si="6"/>
        <v>17</v>
      </c>
      <c r="N88" s="2">
        <f t="shared" si="6"/>
        <v>11</v>
      </c>
      <c r="O88" s="2">
        <f t="shared" si="6"/>
        <v>1</v>
      </c>
    </row>
    <row r="89" spans="1:17" x14ac:dyDescent="0.35">
      <c r="A89" s="7" t="s">
        <v>274</v>
      </c>
      <c r="B89" s="7" t="s">
        <v>275</v>
      </c>
      <c r="C89" s="66">
        <v>3359</v>
      </c>
      <c r="D89" s="53" t="s">
        <v>26</v>
      </c>
      <c r="E89" s="53" t="s">
        <v>17</v>
      </c>
      <c r="F89" s="55">
        <v>223</v>
      </c>
      <c r="G89" s="55">
        <v>37</v>
      </c>
      <c r="H89" s="55">
        <v>2</v>
      </c>
      <c r="I89" s="55">
        <v>13</v>
      </c>
      <c r="J89" s="56"/>
    </row>
    <row r="90" spans="1:17" x14ac:dyDescent="0.35">
      <c r="A90" s="8"/>
      <c r="B90" s="8"/>
      <c r="C90" s="67"/>
      <c r="D90" s="53" t="s">
        <v>26</v>
      </c>
      <c r="E90" s="53" t="s">
        <v>2</v>
      </c>
      <c r="F90" s="55">
        <v>150</v>
      </c>
      <c r="G90" s="55">
        <v>54</v>
      </c>
      <c r="H90" s="55">
        <v>11</v>
      </c>
      <c r="I90" s="55">
        <v>39</v>
      </c>
      <c r="J90" s="56"/>
    </row>
    <row r="91" spans="1:17" x14ac:dyDescent="0.35">
      <c r="A91" s="8"/>
      <c r="B91" s="8"/>
      <c r="C91" s="67"/>
      <c r="D91" s="53" t="s">
        <v>26</v>
      </c>
      <c r="E91" s="53" t="s">
        <v>3</v>
      </c>
      <c r="F91" s="55">
        <v>75</v>
      </c>
      <c r="G91" s="55">
        <v>15</v>
      </c>
      <c r="H91" s="56"/>
      <c r="I91" s="55">
        <v>12</v>
      </c>
      <c r="J91" s="56"/>
    </row>
    <row r="92" spans="1:17" x14ac:dyDescent="0.35">
      <c r="A92" s="8"/>
      <c r="B92" s="8"/>
      <c r="C92" s="67"/>
      <c r="D92" s="53" t="s">
        <v>26</v>
      </c>
      <c r="E92" s="53" t="s">
        <v>4</v>
      </c>
      <c r="F92" s="55">
        <v>41</v>
      </c>
      <c r="G92" s="55">
        <v>19</v>
      </c>
      <c r="H92" s="55">
        <v>2</v>
      </c>
      <c r="I92" s="55">
        <v>10</v>
      </c>
      <c r="J92" s="56"/>
    </row>
    <row r="93" spans="1:17" x14ac:dyDescent="0.35">
      <c r="A93" s="8"/>
      <c r="B93" s="8"/>
      <c r="C93" s="67"/>
      <c r="D93" s="53" t="s">
        <v>26</v>
      </c>
      <c r="E93" s="53" t="s">
        <v>5</v>
      </c>
      <c r="F93" s="55">
        <v>37</v>
      </c>
      <c r="G93" s="55">
        <v>6</v>
      </c>
      <c r="H93" s="55">
        <v>1</v>
      </c>
      <c r="I93" s="55">
        <v>3</v>
      </c>
      <c r="J93" s="56"/>
    </row>
    <row r="94" spans="1:17" x14ac:dyDescent="0.35">
      <c r="A94" s="8"/>
      <c r="B94" s="8"/>
      <c r="C94" s="67"/>
      <c r="D94" s="53" t="s">
        <v>26</v>
      </c>
      <c r="E94" s="53" t="s">
        <v>6</v>
      </c>
      <c r="F94" s="55">
        <v>33</v>
      </c>
      <c r="G94" s="55">
        <v>8</v>
      </c>
      <c r="H94" s="56"/>
      <c r="I94" s="55">
        <v>1</v>
      </c>
      <c r="J94" s="56"/>
    </row>
    <row r="95" spans="1:17" x14ac:dyDescent="0.35">
      <c r="A95" s="8"/>
      <c r="B95" s="8"/>
      <c r="C95" s="67"/>
      <c r="D95" s="53" t="s">
        <v>26</v>
      </c>
      <c r="E95" s="53" t="s">
        <v>7</v>
      </c>
      <c r="F95" s="55">
        <v>160</v>
      </c>
      <c r="G95" s="55">
        <v>36</v>
      </c>
      <c r="H95" s="55">
        <v>12</v>
      </c>
      <c r="I95" s="55">
        <v>12</v>
      </c>
      <c r="J95" s="56"/>
    </row>
    <row r="96" spans="1:17" x14ac:dyDescent="0.35">
      <c r="A96" s="8"/>
      <c r="B96" s="8"/>
      <c r="C96" s="67"/>
      <c r="D96" s="53" t="s">
        <v>26</v>
      </c>
      <c r="E96" s="53" t="s">
        <v>8</v>
      </c>
      <c r="F96" s="55">
        <v>46</v>
      </c>
      <c r="G96" s="55">
        <v>11</v>
      </c>
      <c r="H96" s="55">
        <v>4</v>
      </c>
      <c r="I96" s="55"/>
      <c r="J96" s="56"/>
    </row>
    <row r="97" spans="1:17" x14ac:dyDescent="0.35">
      <c r="A97" s="8"/>
      <c r="B97" s="8"/>
      <c r="C97" s="67"/>
      <c r="D97" s="53" t="s">
        <v>26</v>
      </c>
      <c r="E97" s="53" t="s">
        <v>9</v>
      </c>
      <c r="F97" s="55">
        <v>109</v>
      </c>
      <c r="G97" s="55">
        <v>17</v>
      </c>
      <c r="H97" s="56"/>
      <c r="I97" s="55">
        <v>4</v>
      </c>
      <c r="J97" s="56"/>
    </row>
    <row r="98" spans="1:17" x14ac:dyDescent="0.35">
      <c r="A98" s="8"/>
      <c r="B98" s="8"/>
      <c r="C98" s="67"/>
      <c r="D98" s="53" t="s">
        <v>26</v>
      </c>
      <c r="E98" s="53" t="s">
        <v>11</v>
      </c>
      <c r="F98" s="55">
        <v>50</v>
      </c>
      <c r="G98" s="55">
        <v>9</v>
      </c>
      <c r="H98" s="56"/>
      <c r="I98" s="55">
        <v>2</v>
      </c>
      <c r="J98" s="56"/>
    </row>
    <row r="99" spans="1:17" x14ac:dyDescent="0.35">
      <c r="A99" s="8"/>
      <c r="B99" s="8"/>
      <c r="C99" s="67"/>
      <c r="D99" s="53" t="s">
        <v>26</v>
      </c>
      <c r="E99" s="53" t="s">
        <v>12</v>
      </c>
      <c r="F99" s="55">
        <v>36</v>
      </c>
      <c r="G99" s="55">
        <v>10</v>
      </c>
      <c r="H99" s="56"/>
      <c r="I99" s="55">
        <v>3</v>
      </c>
      <c r="J99" s="56"/>
    </row>
    <row r="100" spans="1:17" x14ac:dyDescent="0.35">
      <c r="A100" s="8"/>
      <c r="B100" s="8"/>
      <c r="C100" s="67"/>
      <c r="D100" s="53" t="s">
        <v>26</v>
      </c>
      <c r="E100" s="53" t="s">
        <v>13</v>
      </c>
      <c r="F100" s="55">
        <v>156</v>
      </c>
      <c r="G100" s="55">
        <v>16</v>
      </c>
      <c r="H100" s="55">
        <v>2</v>
      </c>
      <c r="I100" s="55">
        <v>5</v>
      </c>
      <c r="J100" s="56"/>
    </row>
    <row r="101" spans="1:17" x14ac:dyDescent="0.35">
      <c r="A101" s="8"/>
      <c r="B101" s="8"/>
      <c r="C101" s="67"/>
      <c r="D101" s="53" t="s">
        <v>26</v>
      </c>
      <c r="E101" s="53" t="s">
        <v>21</v>
      </c>
      <c r="F101" s="55">
        <v>95</v>
      </c>
      <c r="G101" s="55">
        <v>8</v>
      </c>
      <c r="H101" s="55">
        <v>2</v>
      </c>
      <c r="I101" s="55">
        <v>4</v>
      </c>
      <c r="J101" s="55">
        <v>1</v>
      </c>
      <c r="K101" s="2">
        <f>SUM(F89:F101)</f>
        <v>1211</v>
      </c>
      <c r="L101" s="2">
        <f t="shared" ref="L101:O101" si="7">SUM(G89:G101)</f>
        <v>246</v>
      </c>
      <c r="M101" s="2">
        <f t="shared" si="7"/>
        <v>36</v>
      </c>
      <c r="N101" s="2">
        <f t="shared" si="7"/>
        <v>108</v>
      </c>
      <c r="O101" s="2">
        <f t="shared" si="7"/>
        <v>1</v>
      </c>
    </row>
    <row r="102" spans="1:17" x14ac:dyDescent="0.35">
      <c r="A102" s="68" t="s">
        <v>276</v>
      </c>
      <c r="B102" s="68" t="s">
        <v>277</v>
      </c>
      <c r="C102" s="69">
        <v>2480</v>
      </c>
      <c r="D102" s="53" t="s">
        <v>27</v>
      </c>
      <c r="E102" s="53" t="s">
        <v>17</v>
      </c>
      <c r="F102" s="57">
        <v>147</v>
      </c>
      <c r="G102" s="57">
        <v>42</v>
      </c>
      <c r="H102" s="58"/>
      <c r="I102" s="58"/>
      <c r="J102" s="58"/>
    </row>
    <row r="103" spans="1:17" x14ac:dyDescent="0.35">
      <c r="A103" s="70"/>
      <c r="B103" s="70"/>
      <c r="C103" s="71"/>
      <c r="D103" s="53" t="s">
        <v>27</v>
      </c>
      <c r="E103" s="53" t="s">
        <v>2</v>
      </c>
      <c r="F103" s="57">
        <v>61</v>
      </c>
      <c r="G103" s="57">
        <v>28</v>
      </c>
      <c r="H103" s="58"/>
      <c r="I103" s="58"/>
      <c r="J103" s="57">
        <v>1</v>
      </c>
    </row>
    <row r="104" spans="1:17" x14ac:dyDescent="0.35">
      <c r="A104" s="70"/>
      <c r="B104" s="70"/>
      <c r="C104" s="71"/>
      <c r="D104" s="53" t="s">
        <v>27</v>
      </c>
      <c r="E104" s="53" t="s">
        <v>3</v>
      </c>
      <c r="F104" s="57">
        <v>95</v>
      </c>
      <c r="G104" s="57">
        <v>38</v>
      </c>
      <c r="H104" s="57">
        <v>5</v>
      </c>
      <c r="I104" s="58"/>
      <c r="J104" s="57">
        <v>1</v>
      </c>
    </row>
    <row r="105" spans="1:17" x14ac:dyDescent="0.35">
      <c r="A105" s="70"/>
      <c r="B105" s="70"/>
      <c r="C105" s="71"/>
      <c r="D105" s="53" t="s">
        <v>27</v>
      </c>
      <c r="E105" s="53" t="s">
        <v>4</v>
      </c>
      <c r="F105" s="57">
        <v>289</v>
      </c>
      <c r="G105" s="57">
        <v>200</v>
      </c>
      <c r="H105" s="57">
        <v>15</v>
      </c>
      <c r="I105" s="58"/>
      <c r="J105" s="58"/>
    </row>
    <row r="106" spans="1:17" x14ac:dyDescent="0.35">
      <c r="A106" s="70"/>
      <c r="B106" s="70"/>
      <c r="C106" s="71"/>
      <c r="D106" s="53" t="s">
        <v>27</v>
      </c>
      <c r="E106" s="53" t="s">
        <v>5</v>
      </c>
      <c r="F106" s="57">
        <v>446</v>
      </c>
      <c r="G106" s="57">
        <v>385</v>
      </c>
      <c r="H106" s="57">
        <v>19</v>
      </c>
      <c r="I106" s="57">
        <v>38</v>
      </c>
      <c r="J106" s="57">
        <v>2</v>
      </c>
      <c r="K106" s="2">
        <f>SUM(F102:F106)</f>
        <v>1038</v>
      </c>
      <c r="L106" s="2">
        <f t="shared" ref="L106:O106" si="8">SUM(G102:G106)</f>
        <v>693</v>
      </c>
      <c r="M106" s="2">
        <f t="shared" si="8"/>
        <v>39</v>
      </c>
      <c r="N106" s="2">
        <f t="shared" si="8"/>
        <v>38</v>
      </c>
      <c r="O106" s="2">
        <f t="shared" si="8"/>
        <v>4</v>
      </c>
      <c r="Q106" s="168"/>
    </row>
    <row r="107" spans="1:17" x14ac:dyDescent="0.35">
      <c r="A107" s="7" t="s">
        <v>278</v>
      </c>
      <c r="B107" s="7" t="s">
        <v>279</v>
      </c>
      <c r="C107" s="66">
        <v>3612</v>
      </c>
      <c r="D107" s="53" t="s">
        <v>28</v>
      </c>
      <c r="E107" s="53" t="s">
        <v>17</v>
      </c>
      <c r="F107" s="55">
        <v>468</v>
      </c>
      <c r="G107" s="55">
        <v>277</v>
      </c>
      <c r="H107" s="55">
        <v>34</v>
      </c>
      <c r="I107" s="55">
        <v>30</v>
      </c>
      <c r="J107" s="56"/>
    </row>
    <row r="108" spans="1:17" x14ac:dyDescent="0.35">
      <c r="A108" s="7" t="s">
        <v>339</v>
      </c>
      <c r="C108" s="2"/>
      <c r="D108" s="53" t="s">
        <v>28</v>
      </c>
      <c r="E108" s="53" t="s">
        <v>2</v>
      </c>
      <c r="F108" s="55">
        <v>223</v>
      </c>
      <c r="G108" s="55">
        <v>123</v>
      </c>
      <c r="H108" s="55">
        <v>14</v>
      </c>
      <c r="I108" s="55">
        <v>18</v>
      </c>
      <c r="J108" s="56"/>
    </row>
    <row r="109" spans="1:17" x14ac:dyDescent="0.35">
      <c r="A109" s="7" t="s">
        <v>341</v>
      </c>
      <c r="C109" s="2"/>
      <c r="D109" s="53" t="s">
        <v>28</v>
      </c>
      <c r="E109" s="53" t="s">
        <v>3</v>
      </c>
      <c r="F109" s="55">
        <v>470</v>
      </c>
      <c r="G109" s="55">
        <v>242</v>
      </c>
      <c r="H109" s="55">
        <v>15</v>
      </c>
      <c r="I109" s="55">
        <v>29</v>
      </c>
      <c r="J109" s="55">
        <v>1</v>
      </c>
    </row>
    <row r="110" spans="1:17" x14ac:dyDescent="0.35">
      <c r="A110" s="7" t="s">
        <v>347</v>
      </c>
      <c r="C110" s="2"/>
      <c r="D110" s="53" t="s">
        <v>28</v>
      </c>
      <c r="E110" s="53" t="s">
        <v>4</v>
      </c>
      <c r="F110" s="55">
        <v>96</v>
      </c>
      <c r="G110" s="55">
        <v>34</v>
      </c>
      <c r="H110" s="55">
        <v>5</v>
      </c>
      <c r="I110" s="55">
        <v>8</v>
      </c>
      <c r="J110" s="56"/>
    </row>
    <row r="111" spans="1:17" x14ac:dyDescent="0.35">
      <c r="A111" s="7"/>
      <c r="C111" s="2"/>
      <c r="D111" s="53" t="s">
        <v>28</v>
      </c>
      <c r="E111" s="53" t="s">
        <v>5</v>
      </c>
      <c r="F111" s="55">
        <v>365</v>
      </c>
      <c r="G111" s="55">
        <v>111</v>
      </c>
      <c r="H111" s="55">
        <v>11</v>
      </c>
      <c r="I111" s="55">
        <v>16</v>
      </c>
      <c r="J111" s="55">
        <v>2</v>
      </c>
    </row>
    <row r="112" spans="1:17" x14ac:dyDescent="0.35">
      <c r="A112" s="7"/>
      <c r="C112" s="2"/>
      <c r="D112" s="53" t="s">
        <v>28</v>
      </c>
      <c r="E112" s="53" t="s">
        <v>6</v>
      </c>
      <c r="F112" s="55">
        <v>112</v>
      </c>
      <c r="G112" s="55">
        <v>44</v>
      </c>
      <c r="H112" s="55">
        <v>9</v>
      </c>
      <c r="I112" s="55">
        <v>4</v>
      </c>
      <c r="J112" s="56"/>
      <c r="K112" s="2">
        <f>SUM(F107:F112)</f>
        <v>1734</v>
      </c>
      <c r="L112" s="2">
        <f t="shared" ref="L112:O112" si="9">SUM(G107:G112)</f>
        <v>831</v>
      </c>
      <c r="M112" s="2">
        <f t="shared" si="9"/>
        <v>88</v>
      </c>
      <c r="N112" s="2">
        <f t="shared" si="9"/>
        <v>105</v>
      </c>
      <c r="O112" s="2">
        <f t="shared" si="9"/>
        <v>3</v>
      </c>
    </row>
    <row r="113" spans="1:17" x14ac:dyDescent="0.35">
      <c r="A113" s="68" t="s">
        <v>280</v>
      </c>
      <c r="B113" s="68" t="s">
        <v>281</v>
      </c>
      <c r="C113" s="69">
        <v>4043</v>
      </c>
      <c r="D113" s="53" t="s">
        <v>29</v>
      </c>
      <c r="E113" s="53" t="s">
        <v>17</v>
      </c>
      <c r="F113" s="57">
        <v>70</v>
      </c>
      <c r="G113" s="57">
        <v>7</v>
      </c>
      <c r="H113" s="58"/>
      <c r="I113" s="57">
        <v>3</v>
      </c>
      <c r="J113" s="58"/>
    </row>
    <row r="114" spans="1:17" x14ac:dyDescent="0.35">
      <c r="A114" s="70"/>
      <c r="B114" s="70"/>
      <c r="C114" s="71"/>
      <c r="D114" s="53" t="s">
        <v>29</v>
      </c>
      <c r="E114" s="53" t="s">
        <v>2</v>
      </c>
      <c r="F114" s="57">
        <v>189</v>
      </c>
      <c r="G114" s="57">
        <v>48</v>
      </c>
      <c r="H114" s="57">
        <v>5</v>
      </c>
      <c r="I114" s="57">
        <v>4</v>
      </c>
      <c r="J114" s="58"/>
    </row>
    <row r="115" spans="1:17" x14ac:dyDescent="0.35">
      <c r="A115" s="70"/>
      <c r="B115" s="70"/>
      <c r="C115" s="71"/>
      <c r="D115" s="53" t="s">
        <v>29</v>
      </c>
      <c r="E115" s="53" t="s">
        <v>3</v>
      </c>
      <c r="F115" s="57">
        <v>217</v>
      </c>
      <c r="G115" s="57">
        <v>37</v>
      </c>
      <c r="H115" s="57">
        <v>7</v>
      </c>
      <c r="I115" s="57">
        <v>4</v>
      </c>
      <c r="J115" s="58"/>
    </row>
    <row r="116" spans="1:17" x14ac:dyDescent="0.35">
      <c r="A116" s="70"/>
      <c r="B116" s="70"/>
      <c r="C116" s="71"/>
      <c r="D116" s="53" t="s">
        <v>29</v>
      </c>
      <c r="E116" s="53" t="s">
        <v>4</v>
      </c>
      <c r="F116" s="57">
        <v>179</v>
      </c>
      <c r="G116" s="57">
        <v>37</v>
      </c>
      <c r="H116" s="57">
        <v>16</v>
      </c>
      <c r="I116" s="57">
        <v>3</v>
      </c>
      <c r="J116" s="58"/>
    </row>
    <row r="117" spans="1:17" x14ac:dyDescent="0.35">
      <c r="A117" s="70"/>
      <c r="B117" s="70"/>
      <c r="C117" s="71"/>
      <c r="D117" s="53" t="s">
        <v>29</v>
      </c>
      <c r="E117" s="53" t="s">
        <v>5</v>
      </c>
      <c r="F117" s="57">
        <v>200</v>
      </c>
      <c r="G117" s="57">
        <v>77</v>
      </c>
      <c r="H117" s="57">
        <v>1</v>
      </c>
      <c r="I117" s="57">
        <v>7</v>
      </c>
      <c r="J117" s="57">
        <v>1</v>
      </c>
    </row>
    <row r="118" spans="1:17" x14ac:dyDescent="0.35">
      <c r="A118" s="70"/>
      <c r="B118" s="70"/>
      <c r="C118" s="71"/>
      <c r="D118" s="53" t="s">
        <v>29</v>
      </c>
      <c r="E118" s="53" t="s">
        <v>6</v>
      </c>
      <c r="F118" s="57">
        <v>210</v>
      </c>
      <c r="G118" s="57">
        <v>60</v>
      </c>
      <c r="H118" s="58"/>
      <c r="I118" s="57">
        <v>10</v>
      </c>
      <c r="J118" s="57">
        <v>1</v>
      </c>
      <c r="K118" s="2">
        <f>SUM(F113:F118)</f>
        <v>1065</v>
      </c>
      <c r="L118" s="2">
        <f t="shared" ref="L118:O118" si="10">SUM(G113:G118)</f>
        <v>266</v>
      </c>
      <c r="M118" s="2">
        <f t="shared" si="10"/>
        <v>29</v>
      </c>
      <c r="N118" s="2">
        <f t="shared" si="10"/>
        <v>31</v>
      </c>
      <c r="O118" s="2">
        <f t="shared" si="10"/>
        <v>2</v>
      </c>
      <c r="P118" s="2">
        <f>SUM(K118:O118)</f>
        <v>1393</v>
      </c>
      <c r="Q118" s="168">
        <f>+P118+C113</f>
        <v>5436</v>
      </c>
    </row>
    <row r="119" spans="1:17" x14ac:dyDescent="0.35">
      <c r="A119" s="7" t="s">
        <v>282</v>
      </c>
      <c r="B119" s="7" t="s">
        <v>283</v>
      </c>
      <c r="C119" s="66">
        <v>3776</v>
      </c>
      <c r="D119" s="53" t="s">
        <v>30</v>
      </c>
      <c r="E119" s="53" t="s">
        <v>17</v>
      </c>
      <c r="F119" s="55">
        <v>105</v>
      </c>
      <c r="G119" s="55">
        <v>35</v>
      </c>
      <c r="H119" s="55">
        <v>6</v>
      </c>
      <c r="I119" s="55">
        <v>4</v>
      </c>
      <c r="J119" s="56"/>
    </row>
    <row r="120" spans="1:17" x14ac:dyDescent="0.35">
      <c r="A120" s="8"/>
      <c r="B120" s="8"/>
      <c r="C120" s="67"/>
      <c r="D120" s="53" t="s">
        <v>30</v>
      </c>
      <c r="E120" s="53" t="s">
        <v>2</v>
      </c>
      <c r="F120" s="55">
        <v>99</v>
      </c>
      <c r="G120" s="55">
        <v>31</v>
      </c>
      <c r="H120" s="55">
        <v>1</v>
      </c>
      <c r="I120" s="55">
        <v>7</v>
      </c>
      <c r="J120" s="56"/>
    </row>
    <row r="121" spans="1:17" x14ac:dyDescent="0.35">
      <c r="A121" s="8"/>
      <c r="B121" s="8"/>
      <c r="C121" s="67"/>
      <c r="D121" s="53" t="s">
        <v>30</v>
      </c>
      <c r="E121" s="53" t="s">
        <v>3</v>
      </c>
      <c r="F121" s="55">
        <v>145</v>
      </c>
      <c r="G121" s="55">
        <v>45</v>
      </c>
      <c r="H121" s="55">
        <v>6</v>
      </c>
      <c r="I121" s="55">
        <v>12</v>
      </c>
      <c r="J121" s="56"/>
    </row>
    <row r="122" spans="1:17" x14ac:dyDescent="0.35">
      <c r="A122" s="8"/>
      <c r="B122" s="8"/>
      <c r="C122" s="67"/>
      <c r="D122" s="53" t="s">
        <v>30</v>
      </c>
      <c r="E122" s="53" t="s">
        <v>4</v>
      </c>
      <c r="F122" s="55">
        <v>107</v>
      </c>
      <c r="G122" s="55">
        <v>41</v>
      </c>
      <c r="H122" s="55">
        <v>3</v>
      </c>
      <c r="I122" s="55">
        <v>3</v>
      </c>
      <c r="J122" s="56"/>
    </row>
    <row r="123" spans="1:17" x14ac:dyDescent="0.35">
      <c r="A123" s="8"/>
      <c r="B123" s="8"/>
      <c r="C123" s="67"/>
      <c r="D123" s="53" t="s">
        <v>30</v>
      </c>
      <c r="E123" s="53" t="s">
        <v>5</v>
      </c>
      <c r="F123" s="55">
        <v>73</v>
      </c>
      <c r="G123" s="55">
        <v>45</v>
      </c>
      <c r="H123" s="55">
        <v>3</v>
      </c>
      <c r="I123" s="55">
        <v>7</v>
      </c>
      <c r="J123" s="56"/>
    </row>
    <row r="124" spans="1:17" x14ac:dyDescent="0.35">
      <c r="A124" s="8"/>
      <c r="B124" s="8"/>
      <c r="C124" s="67"/>
      <c r="D124" s="53" t="s">
        <v>30</v>
      </c>
      <c r="E124" s="53" t="s">
        <v>6</v>
      </c>
      <c r="F124" s="55">
        <v>70</v>
      </c>
      <c r="G124" s="55">
        <v>14</v>
      </c>
      <c r="H124" s="55">
        <v>3</v>
      </c>
      <c r="I124" s="55">
        <v>5</v>
      </c>
      <c r="J124" s="56"/>
    </row>
    <row r="125" spans="1:17" x14ac:dyDescent="0.35">
      <c r="A125" s="8"/>
      <c r="B125" s="8"/>
      <c r="C125" s="67"/>
      <c r="D125" s="53" t="s">
        <v>30</v>
      </c>
      <c r="E125" s="53" t="s">
        <v>7</v>
      </c>
      <c r="F125" s="55">
        <v>232</v>
      </c>
      <c r="G125" s="55">
        <v>35</v>
      </c>
      <c r="H125" s="56"/>
      <c r="I125" s="55">
        <v>8</v>
      </c>
      <c r="J125" s="55">
        <v>2</v>
      </c>
    </row>
    <row r="126" spans="1:17" x14ac:dyDescent="0.35">
      <c r="A126" s="8"/>
      <c r="B126" s="8"/>
      <c r="C126" s="67"/>
      <c r="D126" s="53" t="s">
        <v>30</v>
      </c>
      <c r="E126" s="53" t="s">
        <v>8</v>
      </c>
      <c r="F126" s="55">
        <v>205</v>
      </c>
      <c r="G126" s="55">
        <v>40</v>
      </c>
      <c r="H126" s="55">
        <v>1</v>
      </c>
      <c r="I126" s="55">
        <v>3</v>
      </c>
      <c r="J126" s="56"/>
    </row>
    <row r="127" spans="1:17" x14ac:dyDescent="0.35">
      <c r="A127" s="8"/>
      <c r="B127" s="8"/>
      <c r="C127" s="67"/>
      <c r="D127" s="53" t="s">
        <v>30</v>
      </c>
      <c r="E127" s="53" t="s">
        <v>9</v>
      </c>
      <c r="F127" s="55">
        <v>85</v>
      </c>
      <c r="G127" s="55">
        <v>22</v>
      </c>
      <c r="H127" s="56"/>
      <c r="I127" s="55">
        <v>1</v>
      </c>
      <c r="J127" s="56"/>
      <c r="K127" s="2">
        <f>SUM(F119:F127)</f>
        <v>1121</v>
      </c>
      <c r="L127" s="2">
        <f t="shared" ref="L127:O127" si="11">SUM(G119:G127)</f>
        <v>308</v>
      </c>
      <c r="M127" s="2">
        <f t="shared" si="11"/>
        <v>23</v>
      </c>
      <c r="N127" s="2">
        <f t="shared" si="11"/>
        <v>50</v>
      </c>
      <c r="O127" s="2">
        <f t="shared" si="11"/>
        <v>2</v>
      </c>
      <c r="Q127" s="168"/>
    </row>
    <row r="128" spans="1:17" x14ac:dyDescent="0.35">
      <c r="A128" s="68" t="s">
        <v>284</v>
      </c>
      <c r="B128" s="68" t="s">
        <v>285</v>
      </c>
      <c r="C128" s="69">
        <v>2854</v>
      </c>
      <c r="D128" s="53" t="s">
        <v>31</v>
      </c>
      <c r="E128" s="53" t="s">
        <v>17</v>
      </c>
      <c r="F128" s="57">
        <v>189</v>
      </c>
      <c r="G128" s="57">
        <v>128</v>
      </c>
      <c r="H128" s="57">
        <v>20</v>
      </c>
      <c r="I128" s="57">
        <v>14</v>
      </c>
      <c r="J128" s="58"/>
    </row>
    <row r="129" spans="1:15" x14ac:dyDescent="0.35">
      <c r="A129" s="70"/>
      <c r="B129" s="70"/>
      <c r="C129" s="71"/>
      <c r="D129" s="53" t="s">
        <v>31</v>
      </c>
      <c r="E129" s="53" t="s">
        <v>2</v>
      </c>
      <c r="F129" s="57">
        <v>563</v>
      </c>
      <c r="G129" s="57">
        <v>351</v>
      </c>
      <c r="H129" s="57">
        <v>23</v>
      </c>
      <c r="I129" s="57">
        <v>54</v>
      </c>
      <c r="J129" s="57">
        <v>1</v>
      </c>
    </row>
    <row r="130" spans="1:15" x14ac:dyDescent="0.35">
      <c r="A130" s="70"/>
      <c r="B130" s="70"/>
      <c r="C130" s="71"/>
      <c r="D130" s="53" t="s">
        <v>31</v>
      </c>
      <c r="E130" s="53" t="s">
        <v>3</v>
      </c>
      <c r="F130" s="57">
        <v>117</v>
      </c>
      <c r="G130" s="57">
        <v>48</v>
      </c>
      <c r="H130" s="57">
        <v>2</v>
      </c>
      <c r="I130" s="57">
        <v>10</v>
      </c>
      <c r="J130" s="58"/>
    </row>
    <row r="131" spans="1:15" x14ac:dyDescent="0.35">
      <c r="A131" s="70"/>
      <c r="B131" s="70"/>
      <c r="C131" s="71"/>
      <c r="D131" s="53" t="s">
        <v>31</v>
      </c>
      <c r="E131" s="53" t="s">
        <v>4</v>
      </c>
      <c r="F131" s="57">
        <v>146</v>
      </c>
      <c r="G131" s="57">
        <v>71</v>
      </c>
      <c r="H131" s="57">
        <v>3</v>
      </c>
      <c r="I131" s="57">
        <v>6</v>
      </c>
      <c r="J131" s="58"/>
    </row>
    <row r="132" spans="1:15" x14ac:dyDescent="0.35">
      <c r="A132" s="70"/>
      <c r="B132" s="70"/>
      <c r="C132" s="71"/>
      <c r="D132" s="53" t="s">
        <v>31</v>
      </c>
      <c r="E132" s="53" t="s">
        <v>5</v>
      </c>
      <c r="F132" s="57">
        <v>186</v>
      </c>
      <c r="G132" s="57">
        <v>59</v>
      </c>
      <c r="H132" s="57">
        <v>7</v>
      </c>
      <c r="I132" s="57">
        <v>6</v>
      </c>
      <c r="J132" s="58"/>
    </row>
    <row r="133" spans="1:15" x14ac:dyDescent="0.35">
      <c r="A133" s="70"/>
      <c r="B133" s="70"/>
      <c r="C133" s="71"/>
      <c r="D133" s="53" t="s">
        <v>31</v>
      </c>
      <c r="E133" s="53" t="s">
        <v>6</v>
      </c>
      <c r="F133" s="57">
        <v>84</v>
      </c>
      <c r="G133" s="57">
        <v>11</v>
      </c>
      <c r="H133" s="58"/>
      <c r="I133" s="57">
        <v>3</v>
      </c>
      <c r="J133" s="58"/>
    </row>
    <row r="134" spans="1:15" x14ac:dyDescent="0.35">
      <c r="A134" s="70"/>
      <c r="B134" s="70"/>
      <c r="C134" s="71"/>
      <c r="D134" s="53" t="s">
        <v>31</v>
      </c>
      <c r="E134" s="53" t="s">
        <v>7</v>
      </c>
      <c r="F134" s="57">
        <v>61</v>
      </c>
      <c r="G134" s="57">
        <v>11</v>
      </c>
      <c r="H134" s="57">
        <v>4</v>
      </c>
      <c r="I134" s="57">
        <v>2</v>
      </c>
      <c r="J134" s="58"/>
      <c r="K134" s="2">
        <f>SUM(F128:F134)</f>
        <v>1346</v>
      </c>
      <c r="L134" s="2">
        <f t="shared" ref="L134:O134" si="12">SUM(G128:G134)</f>
        <v>679</v>
      </c>
      <c r="M134" s="2">
        <f t="shared" si="12"/>
        <v>59</v>
      </c>
      <c r="N134" s="2">
        <f t="shared" si="12"/>
        <v>95</v>
      </c>
      <c r="O134" s="2">
        <f t="shared" si="12"/>
        <v>1</v>
      </c>
    </row>
    <row r="135" spans="1:15" x14ac:dyDescent="0.35">
      <c r="A135" s="7" t="s">
        <v>286</v>
      </c>
      <c r="B135" s="7" t="s">
        <v>287</v>
      </c>
      <c r="C135" s="66">
        <v>3730</v>
      </c>
      <c r="D135" s="53" t="s">
        <v>32</v>
      </c>
      <c r="E135" s="53" t="s">
        <v>17</v>
      </c>
      <c r="F135" s="55">
        <v>107</v>
      </c>
      <c r="G135" s="55">
        <v>41</v>
      </c>
      <c r="H135" s="56"/>
      <c r="I135" s="55">
        <v>2</v>
      </c>
      <c r="J135" s="56"/>
    </row>
    <row r="136" spans="1:15" x14ac:dyDescent="0.35">
      <c r="A136" s="8"/>
      <c r="B136" s="8"/>
      <c r="C136" s="67"/>
      <c r="D136" s="53" t="s">
        <v>32</v>
      </c>
      <c r="E136" s="53" t="s">
        <v>2</v>
      </c>
      <c r="F136" s="55">
        <v>193</v>
      </c>
      <c r="G136" s="55">
        <v>47</v>
      </c>
      <c r="H136" s="55">
        <v>4</v>
      </c>
      <c r="I136" s="55">
        <v>6</v>
      </c>
      <c r="J136" s="56"/>
    </row>
    <row r="137" spans="1:15" x14ac:dyDescent="0.35">
      <c r="A137" s="8"/>
      <c r="B137" s="8"/>
      <c r="C137" s="67"/>
      <c r="D137" s="53" t="s">
        <v>32</v>
      </c>
      <c r="E137" s="53" t="s">
        <v>3</v>
      </c>
      <c r="F137" s="55">
        <v>981</v>
      </c>
      <c r="G137" s="55">
        <v>688</v>
      </c>
      <c r="H137" s="55">
        <v>72</v>
      </c>
      <c r="I137" s="55">
        <v>68</v>
      </c>
      <c r="J137" s="55">
        <v>4</v>
      </c>
    </row>
    <row r="138" spans="1:15" x14ac:dyDescent="0.35">
      <c r="A138" s="8"/>
      <c r="B138" s="8"/>
      <c r="C138" s="67"/>
      <c r="D138" s="53" t="s">
        <v>32</v>
      </c>
      <c r="E138" s="53" t="s">
        <v>7</v>
      </c>
      <c r="F138" s="55">
        <v>279</v>
      </c>
      <c r="G138" s="55">
        <v>150</v>
      </c>
      <c r="H138" s="55">
        <v>29</v>
      </c>
      <c r="I138" s="55">
        <v>15</v>
      </c>
      <c r="J138" s="55">
        <v>3</v>
      </c>
      <c r="K138" s="2">
        <f>SUM(F135:F138)</f>
        <v>1560</v>
      </c>
      <c r="L138" s="2">
        <f t="shared" ref="L138:O138" si="13">SUM(G135:G138)</f>
        <v>926</v>
      </c>
      <c r="M138" s="2">
        <f t="shared" si="13"/>
        <v>105</v>
      </c>
      <c r="N138" s="2">
        <f t="shared" si="13"/>
        <v>91</v>
      </c>
      <c r="O138" s="2">
        <f t="shared" si="13"/>
        <v>7</v>
      </c>
    </row>
    <row r="139" spans="1:15" x14ac:dyDescent="0.35">
      <c r="A139" s="68" t="s">
        <v>288</v>
      </c>
      <c r="B139" s="68" t="s">
        <v>289</v>
      </c>
      <c r="C139" s="69">
        <v>2633</v>
      </c>
      <c r="D139" s="53" t="s">
        <v>33</v>
      </c>
      <c r="E139" s="53" t="s">
        <v>17</v>
      </c>
      <c r="F139" s="57">
        <v>212</v>
      </c>
      <c r="G139" s="57">
        <v>68</v>
      </c>
      <c r="H139" s="57">
        <v>14</v>
      </c>
      <c r="I139" s="57">
        <v>8</v>
      </c>
      <c r="J139" s="58"/>
    </row>
    <row r="140" spans="1:15" x14ac:dyDescent="0.35">
      <c r="A140" s="70"/>
      <c r="B140" s="70"/>
      <c r="C140" s="71"/>
      <c r="D140" s="53" t="s">
        <v>33</v>
      </c>
      <c r="E140" s="53" t="s">
        <v>2</v>
      </c>
      <c r="F140" s="57">
        <v>364</v>
      </c>
      <c r="G140" s="57">
        <v>135</v>
      </c>
      <c r="H140" s="57">
        <v>25</v>
      </c>
      <c r="I140" s="57">
        <v>17</v>
      </c>
      <c r="J140" s="57">
        <v>2</v>
      </c>
    </row>
    <row r="141" spans="1:15" x14ac:dyDescent="0.35">
      <c r="A141" s="70"/>
      <c r="B141" s="70"/>
      <c r="C141" s="71"/>
      <c r="D141" s="53" t="s">
        <v>33</v>
      </c>
      <c r="E141" s="53" t="s">
        <v>3</v>
      </c>
      <c r="F141" s="57">
        <v>142</v>
      </c>
      <c r="G141" s="57">
        <v>89</v>
      </c>
      <c r="H141" s="57">
        <v>10</v>
      </c>
      <c r="I141" s="57">
        <v>13</v>
      </c>
      <c r="J141" s="58"/>
    </row>
    <row r="142" spans="1:15" x14ac:dyDescent="0.35">
      <c r="A142" s="70"/>
      <c r="B142" s="70"/>
      <c r="C142" s="71"/>
      <c r="D142" s="53" t="s">
        <v>33</v>
      </c>
      <c r="E142" s="53" t="s">
        <v>4</v>
      </c>
      <c r="F142" s="57">
        <v>66</v>
      </c>
      <c r="G142" s="57">
        <v>25</v>
      </c>
      <c r="H142" s="58"/>
      <c r="I142" s="57">
        <v>4</v>
      </c>
      <c r="J142" s="58"/>
    </row>
    <row r="143" spans="1:15" x14ac:dyDescent="0.35">
      <c r="A143" s="70"/>
      <c r="B143" s="70"/>
      <c r="C143" s="71"/>
      <c r="D143" s="53" t="s">
        <v>33</v>
      </c>
      <c r="E143" s="53" t="s">
        <v>5</v>
      </c>
      <c r="F143" s="57">
        <v>83</v>
      </c>
      <c r="G143" s="57">
        <v>37</v>
      </c>
      <c r="H143" s="57">
        <v>7</v>
      </c>
      <c r="I143" s="57">
        <v>7</v>
      </c>
      <c r="J143" s="58"/>
    </row>
    <row r="144" spans="1:15" x14ac:dyDescent="0.35">
      <c r="A144" s="70"/>
      <c r="B144" s="70"/>
      <c r="C144" s="71"/>
      <c r="D144" s="53" t="s">
        <v>33</v>
      </c>
      <c r="E144" s="53" t="s">
        <v>6</v>
      </c>
      <c r="F144" s="57">
        <v>104</v>
      </c>
      <c r="G144" s="57">
        <v>38</v>
      </c>
      <c r="H144" s="57">
        <v>7</v>
      </c>
      <c r="I144" s="57">
        <v>7</v>
      </c>
      <c r="J144" s="58"/>
      <c r="K144" s="2">
        <f>SUM(F139:F144)</f>
        <v>971</v>
      </c>
      <c r="L144" s="2">
        <f t="shared" ref="L144:O144" si="14">SUM(G139:G144)</f>
        <v>392</v>
      </c>
      <c r="M144" s="2">
        <f t="shared" si="14"/>
        <v>63</v>
      </c>
      <c r="N144" s="2">
        <f t="shared" si="14"/>
        <v>56</v>
      </c>
      <c r="O144" s="2">
        <f t="shared" si="14"/>
        <v>2</v>
      </c>
    </row>
    <row r="145" spans="1:15" x14ac:dyDescent="0.35">
      <c r="A145" s="7" t="s">
        <v>290</v>
      </c>
      <c r="B145" s="7" t="s">
        <v>291</v>
      </c>
      <c r="C145" s="66">
        <v>1424</v>
      </c>
      <c r="D145" s="53" t="s">
        <v>34</v>
      </c>
      <c r="E145" s="53" t="s">
        <v>17</v>
      </c>
      <c r="F145" s="55">
        <v>103</v>
      </c>
      <c r="G145" s="55">
        <v>15</v>
      </c>
      <c r="H145" s="55">
        <v>2</v>
      </c>
      <c r="I145" s="55">
        <v>3</v>
      </c>
      <c r="J145" s="56"/>
    </row>
    <row r="146" spans="1:15" x14ac:dyDescent="0.35">
      <c r="A146" s="8"/>
      <c r="B146" s="8"/>
      <c r="C146" s="67"/>
      <c r="D146" s="53" t="s">
        <v>34</v>
      </c>
      <c r="E146" s="53" t="s">
        <v>2</v>
      </c>
      <c r="F146" s="55">
        <v>31</v>
      </c>
      <c r="G146" s="55">
        <v>24</v>
      </c>
      <c r="H146" s="56"/>
      <c r="I146" s="55">
        <v>4</v>
      </c>
      <c r="J146" s="56"/>
    </row>
    <row r="147" spans="1:15" x14ac:dyDescent="0.35">
      <c r="A147" s="8"/>
      <c r="B147" s="8"/>
      <c r="C147" s="67"/>
      <c r="D147" s="53" t="s">
        <v>34</v>
      </c>
      <c r="E147" s="53" t="s">
        <v>3</v>
      </c>
      <c r="F147" s="55">
        <v>84</v>
      </c>
      <c r="G147" s="55">
        <v>16</v>
      </c>
      <c r="H147" s="55">
        <v>3</v>
      </c>
      <c r="I147" s="55">
        <v>2</v>
      </c>
      <c r="J147" s="55">
        <v>1</v>
      </c>
    </row>
    <row r="148" spans="1:15" x14ac:dyDescent="0.35">
      <c r="A148" s="8"/>
      <c r="B148" s="8"/>
      <c r="C148" s="67"/>
      <c r="D148" s="53" t="s">
        <v>34</v>
      </c>
      <c r="E148" s="53" t="s">
        <v>4</v>
      </c>
      <c r="F148" s="55">
        <v>63</v>
      </c>
      <c r="G148" s="55">
        <v>21</v>
      </c>
      <c r="H148" s="55">
        <v>6</v>
      </c>
      <c r="I148" s="55">
        <v>2</v>
      </c>
      <c r="J148" s="56"/>
    </row>
    <row r="149" spans="1:15" x14ac:dyDescent="0.35">
      <c r="A149" s="8"/>
      <c r="B149" s="8"/>
      <c r="C149" s="67"/>
      <c r="D149" s="53" t="s">
        <v>34</v>
      </c>
      <c r="E149" s="53" t="s">
        <v>5</v>
      </c>
      <c r="F149" s="55">
        <v>172</v>
      </c>
      <c r="G149" s="55">
        <v>64</v>
      </c>
      <c r="H149" s="55">
        <v>7</v>
      </c>
      <c r="I149" s="55">
        <v>10</v>
      </c>
      <c r="J149" s="56"/>
    </row>
    <row r="150" spans="1:15" x14ac:dyDescent="0.35">
      <c r="A150" s="8"/>
      <c r="B150" s="8"/>
      <c r="C150" s="67"/>
      <c r="D150" s="53" t="s">
        <v>34</v>
      </c>
      <c r="E150" s="53" t="s">
        <v>6</v>
      </c>
      <c r="F150" s="55">
        <v>163</v>
      </c>
      <c r="G150" s="55">
        <v>46</v>
      </c>
      <c r="H150" s="55">
        <v>4</v>
      </c>
      <c r="I150" s="55">
        <v>5</v>
      </c>
      <c r="J150" s="56"/>
    </row>
    <row r="151" spans="1:15" x14ac:dyDescent="0.35">
      <c r="A151" s="8"/>
      <c r="B151" s="8"/>
      <c r="C151" s="67"/>
      <c r="D151" s="53" t="s">
        <v>34</v>
      </c>
      <c r="E151" s="53" t="s">
        <v>7</v>
      </c>
      <c r="F151" s="55">
        <v>193</v>
      </c>
      <c r="G151" s="55">
        <v>39</v>
      </c>
      <c r="H151" s="56"/>
      <c r="I151" s="55">
        <v>7</v>
      </c>
      <c r="J151" s="56"/>
      <c r="K151" s="2">
        <f>SUM(F145:F151)</f>
        <v>809</v>
      </c>
      <c r="L151" s="2">
        <f t="shared" ref="L151:O151" si="15">SUM(G145:G151)</f>
        <v>225</v>
      </c>
      <c r="M151" s="2">
        <f t="shared" si="15"/>
        <v>22</v>
      </c>
      <c r="N151" s="2">
        <f t="shared" si="15"/>
        <v>33</v>
      </c>
      <c r="O151" s="2">
        <f t="shared" si="15"/>
        <v>1</v>
      </c>
    </row>
    <row r="152" spans="1:15" x14ac:dyDescent="0.35">
      <c r="A152" s="68" t="s">
        <v>292</v>
      </c>
      <c r="B152" s="68" t="s">
        <v>293</v>
      </c>
      <c r="C152" s="69">
        <v>4058</v>
      </c>
      <c r="D152" s="53" t="s">
        <v>35</v>
      </c>
      <c r="E152" s="53" t="s">
        <v>17</v>
      </c>
      <c r="F152" s="57">
        <v>119</v>
      </c>
      <c r="G152" s="57">
        <v>35</v>
      </c>
      <c r="H152" s="57">
        <v>8</v>
      </c>
      <c r="I152" s="57">
        <v>5</v>
      </c>
      <c r="J152" s="58"/>
    </row>
    <row r="153" spans="1:15" x14ac:dyDescent="0.35">
      <c r="A153" s="70"/>
      <c r="B153" s="70"/>
      <c r="C153" s="71"/>
      <c r="D153" s="53" t="s">
        <v>35</v>
      </c>
      <c r="E153" s="53" t="s">
        <v>2</v>
      </c>
      <c r="F153" s="57">
        <v>94</v>
      </c>
      <c r="G153" s="57">
        <v>48</v>
      </c>
      <c r="H153" s="57">
        <v>7</v>
      </c>
      <c r="I153" s="57">
        <v>6</v>
      </c>
      <c r="J153" s="58"/>
    </row>
    <row r="154" spans="1:15" x14ac:dyDescent="0.35">
      <c r="A154" s="70"/>
      <c r="B154" s="70"/>
      <c r="C154" s="71"/>
      <c r="D154" s="53" t="s">
        <v>35</v>
      </c>
      <c r="E154" s="53" t="s">
        <v>3</v>
      </c>
      <c r="F154" s="57">
        <v>92</v>
      </c>
      <c r="G154" s="57">
        <v>48</v>
      </c>
      <c r="H154" s="57">
        <v>5</v>
      </c>
      <c r="I154" s="57">
        <v>2</v>
      </c>
      <c r="J154" s="58"/>
    </row>
    <row r="155" spans="1:15" x14ac:dyDescent="0.35">
      <c r="A155" s="70"/>
      <c r="B155" s="70"/>
      <c r="C155" s="71"/>
      <c r="D155" s="53" t="s">
        <v>35</v>
      </c>
      <c r="E155" s="53" t="s">
        <v>4</v>
      </c>
      <c r="F155" s="57">
        <v>280</v>
      </c>
      <c r="G155" s="57">
        <v>116</v>
      </c>
      <c r="H155" s="57">
        <v>14</v>
      </c>
      <c r="I155" s="57">
        <v>12</v>
      </c>
      <c r="J155" s="58"/>
    </row>
    <row r="156" spans="1:15" x14ac:dyDescent="0.35">
      <c r="A156" s="70"/>
      <c r="B156" s="70"/>
      <c r="C156" s="71"/>
      <c r="D156" s="53" t="s">
        <v>35</v>
      </c>
      <c r="E156" s="53" t="s">
        <v>5</v>
      </c>
      <c r="F156" s="57">
        <v>178</v>
      </c>
      <c r="G156" s="57">
        <v>39</v>
      </c>
      <c r="H156" s="57">
        <v>1</v>
      </c>
      <c r="I156" s="57">
        <v>3</v>
      </c>
      <c r="J156" s="58"/>
    </row>
    <row r="157" spans="1:15" x14ac:dyDescent="0.35">
      <c r="A157" s="70"/>
      <c r="B157" s="70"/>
      <c r="C157" s="71"/>
      <c r="D157" s="53" t="s">
        <v>35</v>
      </c>
      <c r="E157" s="53" t="s">
        <v>6</v>
      </c>
      <c r="F157" s="57">
        <v>149</v>
      </c>
      <c r="G157" s="57">
        <v>66</v>
      </c>
      <c r="H157" s="57">
        <v>4</v>
      </c>
      <c r="I157" s="57">
        <v>5</v>
      </c>
      <c r="J157" s="57">
        <v>1</v>
      </c>
    </row>
    <row r="158" spans="1:15" x14ac:dyDescent="0.35">
      <c r="A158" s="70"/>
      <c r="B158" s="70"/>
      <c r="C158" s="71"/>
      <c r="D158" s="53" t="s">
        <v>35</v>
      </c>
      <c r="E158" s="53" t="s">
        <v>7</v>
      </c>
      <c r="F158" s="57">
        <v>158</v>
      </c>
      <c r="G158" s="57">
        <v>111</v>
      </c>
      <c r="H158" s="57">
        <v>15</v>
      </c>
      <c r="I158" s="57">
        <v>14</v>
      </c>
      <c r="J158" s="58"/>
    </row>
    <row r="159" spans="1:15" x14ac:dyDescent="0.35">
      <c r="A159" s="70"/>
      <c r="B159" s="70"/>
      <c r="C159" s="71"/>
      <c r="D159" s="53" t="s">
        <v>35</v>
      </c>
      <c r="E159" s="53" t="s">
        <v>8</v>
      </c>
      <c r="F159" s="57">
        <v>192</v>
      </c>
      <c r="G159" s="57">
        <v>131</v>
      </c>
      <c r="H159" s="57">
        <v>8</v>
      </c>
      <c r="I159" s="57">
        <v>22</v>
      </c>
      <c r="J159" s="58"/>
    </row>
    <row r="160" spans="1:15" x14ac:dyDescent="0.35">
      <c r="A160" s="70"/>
      <c r="B160" s="70"/>
      <c r="C160" s="71"/>
      <c r="D160" s="53" t="s">
        <v>35</v>
      </c>
      <c r="E160" s="53" t="s">
        <v>9</v>
      </c>
      <c r="F160" s="57">
        <v>180</v>
      </c>
      <c r="G160" s="57">
        <v>78</v>
      </c>
      <c r="H160" s="57">
        <v>7</v>
      </c>
      <c r="I160" s="57">
        <v>12</v>
      </c>
      <c r="J160" s="58"/>
    </row>
    <row r="161" spans="1:15" x14ac:dyDescent="0.35">
      <c r="A161" s="70"/>
      <c r="B161" s="70"/>
      <c r="C161" s="71"/>
      <c r="D161" s="53" t="s">
        <v>35</v>
      </c>
      <c r="E161" s="53" t="s">
        <v>11</v>
      </c>
      <c r="F161" s="57">
        <v>189</v>
      </c>
      <c r="G161" s="57">
        <v>82</v>
      </c>
      <c r="H161" s="57">
        <v>6</v>
      </c>
      <c r="I161" s="57">
        <v>6</v>
      </c>
      <c r="J161" s="57">
        <v>1</v>
      </c>
    </row>
    <row r="162" spans="1:15" x14ac:dyDescent="0.35">
      <c r="A162" s="70"/>
      <c r="B162" s="70"/>
      <c r="C162" s="71"/>
      <c r="D162" s="53" t="s">
        <v>35</v>
      </c>
      <c r="E162" s="53" t="s">
        <v>12</v>
      </c>
      <c r="F162" s="57">
        <v>97</v>
      </c>
      <c r="G162" s="57">
        <v>20</v>
      </c>
      <c r="H162" s="57">
        <v>3</v>
      </c>
      <c r="I162" s="57">
        <v>5</v>
      </c>
      <c r="J162" s="58"/>
      <c r="K162" s="2">
        <f>SUM(F152:F162)</f>
        <v>1728</v>
      </c>
      <c r="L162" s="2">
        <f t="shared" ref="L162:O162" si="16">SUM(G152:G162)</f>
        <v>774</v>
      </c>
      <c r="M162" s="2">
        <f t="shared" si="16"/>
        <v>78</v>
      </c>
      <c r="N162" s="2">
        <f t="shared" si="16"/>
        <v>92</v>
      </c>
      <c r="O162" s="2">
        <f t="shared" si="16"/>
        <v>2</v>
      </c>
    </row>
    <row r="163" spans="1:15" x14ac:dyDescent="0.35">
      <c r="A163" s="7" t="s">
        <v>294</v>
      </c>
      <c r="B163" s="7" t="s">
        <v>295</v>
      </c>
      <c r="C163" s="66">
        <v>839</v>
      </c>
      <c r="D163" s="53" t="s">
        <v>36</v>
      </c>
      <c r="E163" s="53" t="s">
        <v>17</v>
      </c>
      <c r="F163" s="55">
        <v>145</v>
      </c>
      <c r="G163" s="55">
        <v>39</v>
      </c>
      <c r="H163" s="55">
        <v>7</v>
      </c>
      <c r="I163" s="55">
        <v>10</v>
      </c>
      <c r="J163" s="56"/>
    </row>
    <row r="164" spans="1:15" x14ac:dyDescent="0.35">
      <c r="A164" s="8"/>
      <c r="B164" s="8"/>
      <c r="C164" s="67"/>
      <c r="D164" s="53" t="s">
        <v>36</v>
      </c>
      <c r="E164" s="53" t="s">
        <v>2</v>
      </c>
      <c r="F164" s="55">
        <v>73</v>
      </c>
      <c r="G164" s="55">
        <v>16</v>
      </c>
      <c r="H164" s="56"/>
      <c r="I164" s="56"/>
      <c r="J164" s="56"/>
    </row>
    <row r="165" spans="1:15" x14ac:dyDescent="0.35">
      <c r="A165" s="8"/>
      <c r="B165" s="8"/>
      <c r="C165" s="67"/>
      <c r="D165" s="53" t="s">
        <v>36</v>
      </c>
      <c r="E165" s="53" t="s">
        <v>3</v>
      </c>
      <c r="F165" s="55">
        <v>84</v>
      </c>
      <c r="G165" s="55">
        <v>21</v>
      </c>
      <c r="H165" s="55">
        <v>2</v>
      </c>
      <c r="I165" s="55">
        <v>1</v>
      </c>
      <c r="J165" s="56"/>
    </row>
    <row r="166" spans="1:15" x14ac:dyDescent="0.35">
      <c r="A166" s="8"/>
      <c r="B166" s="8"/>
      <c r="C166" s="67"/>
      <c r="D166" s="53" t="s">
        <v>36</v>
      </c>
      <c r="E166" s="53" t="s">
        <v>4</v>
      </c>
      <c r="F166" s="55">
        <v>113</v>
      </c>
      <c r="G166" s="55">
        <v>24</v>
      </c>
      <c r="H166" s="55">
        <v>1</v>
      </c>
      <c r="I166" s="55">
        <v>6</v>
      </c>
      <c r="J166" s="55">
        <v>1</v>
      </c>
      <c r="K166" s="2">
        <f>SUM(F163:F166)</f>
        <v>415</v>
      </c>
      <c r="L166" s="2">
        <f t="shared" ref="L166:O166" si="17">SUM(G163:G166)</f>
        <v>100</v>
      </c>
      <c r="M166" s="2">
        <f t="shared" si="17"/>
        <v>10</v>
      </c>
      <c r="N166" s="2">
        <f t="shared" si="17"/>
        <v>17</v>
      </c>
      <c r="O166" s="2">
        <f t="shared" si="17"/>
        <v>1</v>
      </c>
    </row>
    <row r="167" spans="1:15" x14ac:dyDescent="0.35">
      <c r="A167" s="62"/>
      <c r="B167" s="62" t="s">
        <v>723</v>
      </c>
      <c r="C167" s="65">
        <f>SUM(C5:C163)</f>
        <v>100677</v>
      </c>
      <c r="D167" s="297" t="s">
        <v>231</v>
      </c>
      <c r="E167" s="297"/>
      <c r="F167" s="59">
        <f>SUM(F5:F166)</f>
        <v>33172</v>
      </c>
      <c r="G167" s="59">
        <f>SUM(G5:G166)</f>
        <v>16555</v>
      </c>
      <c r="H167" s="59">
        <f>SUM(H5:H166)</f>
        <v>1855</v>
      </c>
      <c r="I167" s="59">
        <f>SUM(I5:I166)</f>
        <v>1860</v>
      </c>
      <c r="J167" s="59">
        <f>SUM(J5:J166)</f>
        <v>242</v>
      </c>
    </row>
    <row r="168" spans="1:15" x14ac:dyDescent="0.35">
      <c r="B168" s="54" t="s">
        <v>721</v>
      </c>
      <c r="C168" s="79">
        <f>SUM(C167,F167,G167,H167,I167,J167)</f>
        <v>154361</v>
      </c>
    </row>
  </sheetData>
  <mergeCells count="6">
    <mergeCell ref="D167:E167"/>
    <mergeCell ref="D1:J1"/>
    <mergeCell ref="D2:J2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zoomScale="90" zoomScaleNormal="90" workbookViewId="0">
      <selection activeCell="Q13" sqref="Q13"/>
    </sheetView>
  </sheetViews>
  <sheetFormatPr defaultRowHeight="21" x14ac:dyDescent="0.35"/>
  <cols>
    <col min="1" max="1" width="14.85546875" style="2" customWidth="1"/>
    <col min="2" max="2" width="27.28515625" style="2" bestFit="1" customWidth="1"/>
    <col min="3" max="3" width="19.42578125" style="95" bestFit="1" customWidth="1"/>
    <col min="4" max="4" width="15.7109375" style="2" bestFit="1" customWidth="1"/>
    <col min="5" max="5" width="9.140625" style="22"/>
    <col min="6" max="6" width="11.28515625" style="22" bestFit="1" customWidth="1"/>
    <col min="7" max="7" width="9.42578125" style="22" bestFit="1" customWidth="1"/>
    <col min="8" max="8" width="9.140625" style="22"/>
    <col min="9" max="9" width="19.42578125" style="22" bestFit="1" customWidth="1"/>
    <col min="10" max="10" width="11.85546875" style="22" bestFit="1" customWidth="1"/>
    <col min="11" max="11" width="5.5703125" style="2" bestFit="1" customWidth="1"/>
    <col min="12" max="12" width="4.42578125" style="2" bestFit="1" customWidth="1"/>
    <col min="13" max="14" width="3.28515625" style="2" bestFit="1" customWidth="1"/>
    <col min="15" max="15" width="2.140625" style="2" bestFit="1" customWidth="1"/>
    <col min="16" max="16" width="7.5703125" style="2" bestFit="1" customWidth="1"/>
    <col min="17" max="16384" width="9.140625" style="2"/>
  </cols>
  <sheetData>
    <row r="1" spans="1:16" x14ac:dyDescent="0.35">
      <c r="A1" s="302" t="s">
        <v>742</v>
      </c>
      <c r="B1" s="302"/>
      <c r="C1" s="302"/>
      <c r="D1" s="317" t="s">
        <v>241</v>
      </c>
      <c r="E1" s="318"/>
      <c r="F1" s="318"/>
      <c r="G1" s="318"/>
      <c r="H1" s="318"/>
      <c r="I1" s="318"/>
      <c r="J1" s="318"/>
    </row>
    <row r="2" spans="1:16" x14ac:dyDescent="0.35">
      <c r="A2" s="302" t="s">
        <v>720</v>
      </c>
      <c r="B2" s="302"/>
      <c r="C2" s="302"/>
      <c r="D2" s="317" t="s">
        <v>230</v>
      </c>
      <c r="E2" s="317"/>
      <c r="F2" s="317"/>
      <c r="G2" s="317"/>
      <c r="H2" s="317"/>
      <c r="I2" s="317"/>
      <c r="J2" s="317"/>
    </row>
    <row r="3" spans="1:16" x14ac:dyDescent="0.35">
      <c r="A3" s="91"/>
      <c r="B3" s="91"/>
      <c r="C3" s="110"/>
      <c r="F3" s="319" t="s">
        <v>718</v>
      </c>
      <c r="G3" s="319"/>
      <c r="H3" s="319"/>
      <c r="I3" s="319"/>
      <c r="J3" s="319"/>
    </row>
    <row r="4" spans="1:16" x14ac:dyDescent="0.35">
      <c r="A4" s="118" t="s">
        <v>716</v>
      </c>
      <c r="B4" s="118" t="s">
        <v>256</v>
      </c>
      <c r="C4" s="119" t="s">
        <v>717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240</v>
      </c>
      <c r="J4" s="29" t="s">
        <v>221</v>
      </c>
    </row>
    <row r="5" spans="1:16" x14ac:dyDescent="0.35">
      <c r="A5" s="72" t="s">
        <v>430</v>
      </c>
      <c r="B5" s="72" t="s">
        <v>431</v>
      </c>
      <c r="C5" s="126">
        <v>4844</v>
      </c>
      <c r="D5" s="30" t="s">
        <v>154</v>
      </c>
      <c r="E5" s="31" t="s">
        <v>17</v>
      </c>
      <c r="F5" s="25">
        <v>429</v>
      </c>
      <c r="G5" s="25">
        <v>26</v>
      </c>
      <c r="H5" s="25">
        <v>1</v>
      </c>
      <c r="I5" s="25">
        <v>6</v>
      </c>
      <c r="J5" s="25">
        <v>2</v>
      </c>
    </row>
    <row r="6" spans="1:16" x14ac:dyDescent="0.35">
      <c r="A6" s="73"/>
      <c r="B6" s="73"/>
      <c r="C6" s="103"/>
      <c r="D6" s="30" t="s">
        <v>154</v>
      </c>
      <c r="E6" s="31" t="s">
        <v>2</v>
      </c>
      <c r="F6" s="25">
        <v>95</v>
      </c>
      <c r="G6" s="25">
        <v>34</v>
      </c>
      <c r="H6" s="25">
        <v>4</v>
      </c>
      <c r="I6" s="25">
        <v>2</v>
      </c>
      <c r="J6" s="27"/>
    </row>
    <row r="7" spans="1:16" x14ac:dyDescent="0.35">
      <c r="A7" s="73"/>
      <c r="B7" s="73"/>
      <c r="C7" s="103"/>
      <c r="D7" s="30" t="s">
        <v>154</v>
      </c>
      <c r="E7" s="31" t="s">
        <v>3</v>
      </c>
      <c r="F7" s="25">
        <v>365</v>
      </c>
      <c r="G7" s="25">
        <v>253</v>
      </c>
      <c r="H7" s="25">
        <v>28</v>
      </c>
      <c r="I7" s="25">
        <v>30</v>
      </c>
      <c r="J7" s="27"/>
    </row>
    <row r="8" spans="1:16" x14ac:dyDescent="0.35">
      <c r="A8" s="73"/>
      <c r="B8" s="73"/>
      <c r="C8" s="103"/>
      <c r="D8" s="30" t="s">
        <v>154</v>
      </c>
      <c r="E8" s="31" t="s">
        <v>4</v>
      </c>
      <c r="F8" s="25">
        <v>80</v>
      </c>
      <c r="G8" s="25">
        <v>36</v>
      </c>
      <c r="H8" s="25">
        <v>8</v>
      </c>
      <c r="I8" s="25">
        <v>5</v>
      </c>
      <c r="J8" s="27"/>
    </row>
    <row r="9" spans="1:16" x14ac:dyDescent="0.35">
      <c r="A9" s="73"/>
      <c r="B9" s="73"/>
      <c r="C9" s="103"/>
      <c r="D9" s="30" t="s">
        <v>154</v>
      </c>
      <c r="E9" s="31" t="s">
        <v>5</v>
      </c>
      <c r="F9" s="25">
        <v>117</v>
      </c>
      <c r="G9" s="25">
        <v>15</v>
      </c>
      <c r="H9" s="25">
        <v>1</v>
      </c>
      <c r="I9" s="25">
        <v>1</v>
      </c>
      <c r="J9" s="25">
        <v>2</v>
      </c>
    </row>
    <row r="10" spans="1:16" x14ac:dyDescent="0.35">
      <c r="A10" s="73"/>
      <c r="B10" s="73"/>
      <c r="C10" s="103"/>
      <c r="D10" s="30" t="s">
        <v>154</v>
      </c>
      <c r="E10" s="31" t="s">
        <v>6</v>
      </c>
      <c r="F10" s="25">
        <v>188</v>
      </c>
      <c r="G10" s="25">
        <v>40</v>
      </c>
      <c r="H10" s="25">
        <v>2</v>
      </c>
      <c r="I10" s="25">
        <v>7</v>
      </c>
      <c r="J10" s="27"/>
    </row>
    <row r="11" spans="1:16" x14ac:dyDescent="0.35">
      <c r="A11" s="73"/>
      <c r="B11" s="73"/>
      <c r="C11" s="103"/>
      <c r="D11" s="30" t="s">
        <v>154</v>
      </c>
      <c r="E11" s="31" t="s">
        <v>7</v>
      </c>
      <c r="F11" s="25">
        <v>49</v>
      </c>
      <c r="G11" s="25">
        <v>21</v>
      </c>
      <c r="H11" s="25">
        <v>5</v>
      </c>
      <c r="I11" s="25">
        <v>6</v>
      </c>
      <c r="J11" s="27"/>
    </row>
    <row r="12" spans="1:16" x14ac:dyDescent="0.35">
      <c r="A12" s="73"/>
      <c r="B12" s="73"/>
      <c r="C12" s="103"/>
      <c r="D12" s="30" t="s">
        <v>154</v>
      </c>
      <c r="E12" s="31" t="s">
        <v>8</v>
      </c>
      <c r="F12" s="25">
        <v>78</v>
      </c>
      <c r="G12" s="25">
        <v>28</v>
      </c>
      <c r="H12" s="25">
        <v>1</v>
      </c>
      <c r="I12" s="25">
        <v>4</v>
      </c>
      <c r="J12" s="27"/>
    </row>
    <row r="13" spans="1:16" ht="23.25" x14ac:dyDescent="0.5">
      <c r="A13" s="73"/>
      <c r="B13" s="73"/>
      <c r="C13" s="103"/>
      <c r="D13" s="30" t="s">
        <v>154</v>
      </c>
      <c r="E13" s="31" t="s">
        <v>9</v>
      </c>
      <c r="F13" s="25">
        <v>153</v>
      </c>
      <c r="G13" s="25">
        <v>8</v>
      </c>
      <c r="H13" s="27"/>
      <c r="I13" s="25">
        <v>1</v>
      </c>
      <c r="J13" s="27"/>
      <c r="K13" s="2">
        <f>SUM(F5:F13)</f>
        <v>1554</v>
      </c>
      <c r="L13" s="2">
        <f t="shared" ref="L13:O13" si="0">SUM(G5:G13)</f>
        <v>461</v>
      </c>
      <c r="M13" s="2">
        <f t="shared" si="0"/>
        <v>50</v>
      </c>
      <c r="N13" s="2">
        <f t="shared" si="0"/>
        <v>62</v>
      </c>
      <c r="O13" s="2">
        <f t="shared" si="0"/>
        <v>4</v>
      </c>
      <c r="P13" s="231">
        <f>SUM(K13:O13)+C5</f>
        <v>6975</v>
      </c>
    </row>
    <row r="14" spans="1:16" x14ac:dyDescent="0.35">
      <c r="A14" s="127" t="s">
        <v>384</v>
      </c>
      <c r="B14" s="127" t="s">
        <v>385</v>
      </c>
      <c r="C14" s="128">
        <v>3708</v>
      </c>
      <c r="D14" s="30" t="s">
        <v>155</v>
      </c>
      <c r="E14" s="31" t="s">
        <v>17</v>
      </c>
      <c r="F14" s="21">
        <v>157</v>
      </c>
      <c r="G14" s="21">
        <v>43</v>
      </c>
      <c r="H14" s="21">
        <v>21</v>
      </c>
      <c r="I14" s="21">
        <v>10</v>
      </c>
      <c r="J14" s="21">
        <v>1</v>
      </c>
    </row>
    <row r="15" spans="1:16" x14ac:dyDescent="0.35">
      <c r="A15" s="124"/>
      <c r="B15" s="124"/>
      <c r="C15" s="125"/>
      <c r="D15" s="30" t="s">
        <v>155</v>
      </c>
      <c r="E15" s="31" t="s">
        <v>2</v>
      </c>
      <c r="F15" s="21">
        <v>98</v>
      </c>
      <c r="G15" s="21">
        <v>15</v>
      </c>
      <c r="H15" s="21">
        <v>6</v>
      </c>
      <c r="I15" s="21">
        <v>4</v>
      </c>
      <c r="J15" s="26"/>
    </row>
    <row r="16" spans="1:16" x14ac:dyDescent="0.35">
      <c r="A16" s="124"/>
      <c r="B16" s="124"/>
      <c r="C16" s="125"/>
      <c r="D16" s="30" t="s">
        <v>155</v>
      </c>
      <c r="E16" s="31" t="s">
        <v>3</v>
      </c>
      <c r="F16" s="21">
        <v>113</v>
      </c>
      <c r="G16" s="21">
        <v>16</v>
      </c>
      <c r="H16" s="26"/>
      <c r="I16" s="21">
        <v>2</v>
      </c>
      <c r="J16" s="26"/>
    </row>
    <row r="17" spans="1:16" x14ac:dyDescent="0.35">
      <c r="A17" s="124"/>
      <c r="B17" s="124"/>
      <c r="C17" s="125"/>
      <c r="D17" s="30" t="s">
        <v>155</v>
      </c>
      <c r="E17" s="31" t="s">
        <v>4</v>
      </c>
      <c r="F17" s="21">
        <v>117</v>
      </c>
      <c r="G17" s="21">
        <v>21</v>
      </c>
      <c r="H17" s="21">
        <v>7</v>
      </c>
      <c r="I17" s="21">
        <v>3</v>
      </c>
      <c r="J17" s="26"/>
    </row>
    <row r="18" spans="1:16" x14ac:dyDescent="0.35">
      <c r="A18" s="124"/>
      <c r="B18" s="124"/>
      <c r="C18" s="125"/>
      <c r="D18" s="30" t="s">
        <v>155</v>
      </c>
      <c r="E18" s="31" t="s">
        <v>5</v>
      </c>
      <c r="F18" s="21">
        <v>67</v>
      </c>
      <c r="G18" s="21">
        <v>25</v>
      </c>
      <c r="H18" s="26"/>
      <c r="I18" s="21">
        <v>1</v>
      </c>
      <c r="J18" s="26"/>
    </row>
    <row r="19" spans="1:16" x14ac:dyDescent="0.35">
      <c r="A19" s="124"/>
      <c r="B19" s="124"/>
      <c r="C19" s="125"/>
      <c r="D19" s="30" t="s">
        <v>155</v>
      </c>
      <c r="E19" s="31" t="s">
        <v>6</v>
      </c>
      <c r="F19" s="21">
        <v>165</v>
      </c>
      <c r="G19" s="21">
        <v>39</v>
      </c>
      <c r="H19" s="26"/>
      <c r="I19" s="21">
        <v>5</v>
      </c>
      <c r="J19" s="26"/>
    </row>
    <row r="20" spans="1:16" x14ac:dyDescent="0.35">
      <c r="A20" s="124"/>
      <c r="B20" s="124"/>
      <c r="C20" s="125"/>
      <c r="D20" s="30" t="s">
        <v>155</v>
      </c>
      <c r="E20" s="31" t="s">
        <v>7</v>
      </c>
      <c r="F20" s="21">
        <v>104</v>
      </c>
      <c r="G20" s="21">
        <v>4</v>
      </c>
      <c r="H20" s="26"/>
      <c r="I20" s="21">
        <v>2</v>
      </c>
      <c r="J20" s="26"/>
    </row>
    <row r="21" spans="1:16" x14ac:dyDescent="0.35">
      <c r="A21" s="124"/>
      <c r="B21" s="124"/>
      <c r="C21" s="125"/>
      <c r="D21" s="30" t="s">
        <v>155</v>
      </c>
      <c r="E21" s="31" t="s">
        <v>8</v>
      </c>
      <c r="F21" s="21">
        <v>99</v>
      </c>
      <c r="G21" s="21">
        <v>33</v>
      </c>
      <c r="H21" s="21">
        <v>4</v>
      </c>
      <c r="I21" s="21">
        <v>5</v>
      </c>
      <c r="J21" s="26"/>
    </row>
    <row r="22" spans="1:16" x14ac:dyDescent="0.35">
      <c r="A22" s="124"/>
      <c r="B22" s="124"/>
      <c r="C22" s="125"/>
      <c r="D22" s="30" t="s">
        <v>155</v>
      </c>
      <c r="E22" s="31" t="s">
        <v>9</v>
      </c>
      <c r="F22" s="21">
        <v>60</v>
      </c>
      <c r="G22" s="21">
        <v>12</v>
      </c>
      <c r="H22" s="26"/>
      <c r="I22" s="26"/>
      <c r="J22" s="21">
        <v>1</v>
      </c>
    </row>
    <row r="23" spans="1:16" ht="23.25" x14ac:dyDescent="0.5">
      <c r="A23" s="124"/>
      <c r="B23" s="124"/>
      <c r="C23" s="125"/>
      <c r="D23" s="30" t="s">
        <v>155</v>
      </c>
      <c r="E23" s="31" t="s">
        <v>11</v>
      </c>
      <c r="F23" s="21">
        <v>103</v>
      </c>
      <c r="G23" s="21">
        <v>29</v>
      </c>
      <c r="H23" s="21">
        <v>4</v>
      </c>
      <c r="I23" s="21">
        <v>5</v>
      </c>
      <c r="J23" s="26"/>
      <c r="K23" s="2">
        <f>SUM(F14:F23)</f>
        <v>1083</v>
      </c>
      <c r="L23" s="2">
        <f t="shared" ref="L23:O23" si="1">SUM(G14:G23)</f>
        <v>237</v>
      </c>
      <c r="M23" s="2">
        <f t="shared" si="1"/>
        <v>42</v>
      </c>
      <c r="N23" s="2">
        <f t="shared" si="1"/>
        <v>37</v>
      </c>
      <c r="O23" s="2">
        <f t="shared" si="1"/>
        <v>2</v>
      </c>
      <c r="P23" s="231">
        <f>SUM(K23:O23)+C14</f>
        <v>5109</v>
      </c>
    </row>
    <row r="24" spans="1:16" x14ac:dyDescent="0.35">
      <c r="A24" s="72" t="s">
        <v>629</v>
      </c>
      <c r="B24" s="72" t="s">
        <v>630</v>
      </c>
      <c r="C24" s="126">
        <v>2425</v>
      </c>
      <c r="D24" s="204" t="s">
        <v>156</v>
      </c>
      <c r="E24" s="205" t="s">
        <v>4</v>
      </c>
      <c r="F24" s="206">
        <v>230</v>
      </c>
      <c r="G24" s="206">
        <v>30</v>
      </c>
      <c r="H24" s="206">
        <v>8</v>
      </c>
      <c r="I24" s="206">
        <v>6</v>
      </c>
      <c r="J24" s="207"/>
    </row>
    <row r="25" spans="1:16" x14ac:dyDescent="0.35">
      <c r="A25" s="72"/>
      <c r="B25" s="72"/>
      <c r="C25" s="126"/>
      <c r="D25" s="204" t="s">
        <v>156</v>
      </c>
      <c r="E25" s="205" t="s">
        <v>5</v>
      </c>
      <c r="F25" s="206">
        <v>301</v>
      </c>
      <c r="G25" s="206">
        <v>34</v>
      </c>
      <c r="H25" s="206">
        <v>4</v>
      </c>
      <c r="I25" s="206">
        <v>4</v>
      </c>
      <c r="J25" s="206">
        <v>1</v>
      </c>
    </row>
    <row r="26" spans="1:16" x14ac:dyDescent="0.35">
      <c r="A26" s="72"/>
      <c r="B26" s="72"/>
      <c r="C26" s="126"/>
      <c r="D26" s="204" t="s">
        <v>156</v>
      </c>
      <c r="E26" s="205" t="s">
        <v>7</v>
      </c>
      <c r="F26" s="206">
        <v>168</v>
      </c>
      <c r="G26" s="206">
        <v>32</v>
      </c>
      <c r="H26" s="206">
        <v>1</v>
      </c>
      <c r="I26" s="206">
        <v>6</v>
      </c>
      <c r="J26" s="206">
        <v>1</v>
      </c>
    </row>
    <row r="27" spans="1:16" x14ac:dyDescent="0.35">
      <c r="A27" s="72"/>
      <c r="B27" s="72"/>
      <c r="C27" s="126"/>
      <c r="D27" s="204" t="s">
        <v>156</v>
      </c>
      <c r="E27" s="205" t="s">
        <v>8</v>
      </c>
      <c r="F27" s="206">
        <v>114</v>
      </c>
      <c r="G27" s="206">
        <v>17</v>
      </c>
      <c r="H27" s="207"/>
      <c r="I27" s="206">
        <v>6</v>
      </c>
      <c r="J27" s="207"/>
      <c r="K27" s="2">
        <f>SUM(F24:F27)</f>
        <v>813</v>
      </c>
      <c r="L27" s="2">
        <f t="shared" ref="L27:O27" si="2">SUM(G24:G27)</f>
        <v>113</v>
      </c>
      <c r="M27" s="2">
        <f t="shared" si="2"/>
        <v>13</v>
      </c>
      <c r="N27" s="2">
        <f t="shared" si="2"/>
        <v>22</v>
      </c>
      <c r="O27" s="2">
        <f t="shared" si="2"/>
        <v>2</v>
      </c>
      <c r="P27" s="237">
        <f>SUM(K27:O27)+C24</f>
        <v>3388</v>
      </c>
    </row>
    <row r="28" spans="1:16" x14ac:dyDescent="0.35">
      <c r="A28" s="210" t="s">
        <v>627</v>
      </c>
      <c r="B28" s="210" t="s">
        <v>628</v>
      </c>
      <c r="C28" s="211">
        <v>3368</v>
      </c>
      <c r="D28" s="212" t="s">
        <v>156</v>
      </c>
      <c r="E28" s="213" t="s">
        <v>17</v>
      </c>
      <c r="F28" s="213">
        <v>115</v>
      </c>
      <c r="G28" s="213">
        <v>26</v>
      </c>
      <c r="H28" s="213">
        <v>1</v>
      </c>
      <c r="I28" s="213">
        <v>5</v>
      </c>
      <c r="J28" s="213">
        <v>1</v>
      </c>
    </row>
    <row r="29" spans="1:16" x14ac:dyDescent="0.35">
      <c r="A29" s="214"/>
      <c r="B29" s="214"/>
      <c r="C29" s="215"/>
      <c r="D29" s="212" t="s">
        <v>156</v>
      </c>
      <c r="E29" s="213" t="s">
        <v>2</v>
      </c>
      <c r="F29" s="213">
        <v>96</v>
      </c>
      <c r="G29" s="213">
        <v>29</v>
      </c>
      <c r="H29" s="213">
        <v>4</v>
      </c>
      <c r="I29" s="213">
        <v>4</v>
      </c>
      <c r="J29" s="216"/>
    </row>
    <row r="30" spans="1:16" x14ac:dyDescent="0.35">
      <c r="A30" s="214"/>
      <c r="B30" s="214"/>
      <c r="C30" s="215"/>
      <c r="D30" s="212" t="s">
        <v>156</v>
      </c>
      <c r="E30" s="213" t="s">
        <v>3</v>
      </c>
      <c r="F30" s="213">
        <v>321</v>
      </c>
      <c r="G30" s="213">
        <v>131</v>
      </c>
      <c r="H30" s="213">
        <v>9</v>
      </c>
      <c r="I30" s="213">
        <v>11</v>
      </c>
      <c r="J30" s="213">
        <v>2</v>
      </c>
    </row>
    <row r="31" spans="1:16" ht="23.25" x14ac:dyDescent="0.5">
      <c r="A31" s="214"/>
      <c r="B31" s="214"/>
      <c r="C31" s="215"/>
      <c r="D31" s="202" t="s">
        <v>156</v>
      </c>
      <c r="E31" s="203" t="s">
        <v>6</v>
      </c>
      <c r="F31" s="203">
        <v>75</v>
      </c>
      <c r="G31" s="203">
        <v>23</v>
      </c>
      <c r="H31" s="203">
        <v>6</v>
      </c>
      <c r="I31" s="203">
        <v>8</v>
      </c>
      <c r="J31" s="194"/>
      <c r="K31" s="2">
        <f>SUM(F28:F31)</f>
        <v>607</v>
      </c>
      <c r="L31" s="2">
        <f t="shared" ref="L31:O31" si="3">SUM(G28:G31)</f>
        <v>209</v>
      </c>
      <c r="M31" s="2">
        <f t="shared" si="3"/>
        <v>20</v>
      </c>
      <c r="N31" s="2">
        <f t="shared" si="3"/>
        <v>28</v>
      </c>
      <c r="O31" s="2">
        <f t="shared" si="3"/>
        <v>3</v>
      </c>
      <c r="P31" s="231">
        <f>SUM(K31:O31)+C28</f>
        <v>4235</v>
      </c>
    </row>
    <row r="32" spans="1:16" x14ac:dyDescent="0.35">
      <c r="A32" s="127" t="s">
        <v>386</v>
      </c>
      <c r="B32" s="127" t="s">
        <v>387</v>
      </c>
      <c r="C32" s="128">
        <v>3048</v>
      </c>
      <c r="D32" s="30" t="s">
        <v>157</v>
      </c>
      <c r="E32" s="31" t="s">
        <v>17</v>
      </c>
      <c r="F32" s="21">
        <v>238</v>
      </c>
      <c r="G32" s="21">
        <v>30</v>
      </c>
      <c r="H32" s="21">
        <v>1</v>
      </c>
      <c r="I32" s="21">
        <v>5</v>
      </c>
      <c r="J32" s="26"/>
    </row>
    <row r="33" spans="1:16" x14ac:dyDescent="0.35">
      <c r="A33" s="124"/>
      <c r="B33" s="124"/>
      <c r="C33" s="125"/>
      <c r="D33" s="30" t="s">
        <v>157</v>
      </c>
      <c r="E33" s="31" t="s">
        <v>2</v>
      </c>
      <c r="F33" s="21">
        <v>165</v>
      </c>
      <c r="G33" s="21">
        <v>39</v>
      </c>
      <c r="H33" s="21">
        <v>2</v>
      </c>
      <c r="I33" s="21">
        <v>6</v>
      </c>
      <c r="J33" s="26"/>
    </row>
    <row r="34" spans="1:16" x14ac:dyDescent="0.35">
      <c r="A34" s="124"/>
      <c r="B34" s="124"/>
      <c r="C34" s="125"/>
      <c r="D34" s="204" t="s">
        <v>157</v>
      </c>
      <c r="E34" s="205" t="s">
        <v>6</v>
      </c>
      <c r="F34" s="208">
        <v>179</v>
      </c>
      <c r="G34" s="208">
        <v>35</v>
      </c>
      <c r="H34" s="208">
        <v>7</v>
      </c>
      <c r="I34" s="208">
        <v>5</v>
      </c>
      <c r="J34" s="209"/>
    </row>
    <row r="35" spans="1:16" x14ac:dyDescent="0.35">
      <c r="A35" s="124"/>
      <c r="B35" s="124"/>
      <c r="C35" s="125"/>
      <c r="D35" s="204" t="s">
        <v>157</v>
      </c>
      <c r="E35" s="205" t="s">
        <v>7</v>
      </c>
      <c r="F35" s="208">
        <v>185</v>
      </c>
      <c r="G35" s="208">
        <v>76</v>
      </c>
      <c r="H35" s="209"/>
      <c r="I35" s="208">
        <v>13</v>
      </c>
      <c r="J35" s="208">
        <v>1</v>
      </c>
    </row>
    <row r="36" spans="1:16" x14ac:dyDescent="0.35">
      <c r="A36" s="124"/>
      <c r="B36" s="124"/>
      <c r="C36" s="125"/>
      <c r="D36" s="30" t="s">
        <v>158</v>
      </c>
      <c r="E36" s="31" t="s">
        <v>17</v>
      </c>
      <c r="F36" s="25">
        <v>105</v>
      </c>
      <c r="G36" s="25">
        <v>18</v>
      </c>
      <c r="H36" s="27"/>
      <c r="I36" s="25">
        <v>2</v>
      </c>
      <c r="J36" s="27"/>
    </row>
    <row r="37" spans="1:16" x14ac:dyDescent="0.35">
      <c r="A37" s="124"/>
      <c r="B37" s="124"/>
      <c r="C37" s="125"/>
      <c r="D37" s="30" t="s">
        <v>158</v>
      </c>
      <c r="E37" s="31" t="s">
        <v>2</v>
      </c>
      <c r="F37" s="25">
        <v>64</v>
      </c>
      <c r="G37" s="25">
        <v>22</v>
      </c>
      <c r="H37" s="27"/>
      <c r="I37" s="25">
        <v>9</v>
      </c>
      <c r="J37" s="27"/>
      <c r="K37" s="2">
        <f>SUM(F32:F37)</f>
        <v>936</v>
      </c>
      <c r="L37" s="2">
        <f t="shared" ref="L37:O37" si="4">SUM(G32:G37)</f>
        <v>220</v>
      </c>
      <c r="M37" s="2">
        <f t="shared" si="4"/>
        <v>10</v>
      </c>
      <c r="N37" s="2">
        <f t="shared" si="4"/>
        <v>40</v>
      </c>
      <c r="O37" s="2">
        <f t="shared" si="4"/>
        <v>1</v>
      </c>
      <c r="P37" s="237">
        <f>SUM(K37:O37)+C32</f>
        <v>4255</v>
      </c>
    </row>
    <row r="38" spans="1:16" x14ac:dyDescent="0.35">
      <c r="A38" s="72" t="s">
        <v>631</v>
      </c>
      <c r="B38" s="72" t="s">
        <v>632</v>
      </c>
      <c r="C38" s="126">
        <v>2344</v>
      </c>
      <c r="D38" s="30" t="s">
        <v>158</v>
      </c>
      <c r="E38" s="31" t="s">
        <v>3</v>
      </c>
      <c r="F38" s="25">
        <v>145</v>
      </c>
      <c r="G38" s="25">
        <v>36</v>
      </c>
      <c r="H38" s="27"/>
      <c r="I38" s="25">
        <v>7</v>
      </c>
      <c r="J38" s="27"/>
    </row>
    <row r="39" spans="1:16" x14ac:dyDescent="0.35">
      <c r="A39" s="72"/>
      <c r="B39" s="72"/>
      <c r="C39" s="126"/>
      <c r="D39" s="204" t="s">
        <v>157</v>
      </c>
      <c r="E39" s="205" t="s">
        <v>3</v>
      </c>
      <c r="F39" s="208">
        <v>232</v>
      </c>
      <c r="G39" s="208">
        <v>33</v>
      </c>
      <c r="H39" s="208">
        <v>2</v>
      </c>
      <c r="I39" s="208">
        <v>1</v>
      </c>
      <c r="J39" s="209"/>
    </row>
    <row r="40" spans="1:16" x14ac:dyDescent="0.35">
      <c r="A40" s="72"/>
      <c r="B40" s="72"/>
      <c r="C40" s="126"/>
      <c r="D40" s="30" t="s">
        <v>160</v>
      </c>
      <c r="E40" s="31" t="s">
        <v>17</v>
      </c>
      <c r="F40" s="25">
        <v>105</v>
      </c>
      <c r="G40" s="25">
        <v>28</v>
      </c>
      <c r="H40" s="25">
        <v>1</v>
      </c>
      <c r="I40" s="25">
        <v>4</v>
      </c>
      <c r="J40" s="27"/>
    </row>
    <row r="41" spans="1:16" x14ac:dyDescent="0.35">
      <c r="A41" s="72"/>
      <c r="B41" s="72"/>
      <c r="C41" s="126"/>
      <c r="D41" s="30" t="s">
        <v>160</v>
      </c>
      <c r="E41" s="31" t="s">
        <v>3</v>
      </c>
      <c r="F41" s="25">
        <v>75</v>
      </c>
      <c r="G41" s="25">
        <v>9</v>
      </c>
      <c r="H41" s="27"/>
      <c r="I41" s="25">
        <v>1</v>
      </c>
      <c r="J41" s="27"/>
    </row>
    <row r="42" spans="1:16" x14ac:dyDescent="0.35">
      <c r="A42" s="72"/>
      <c r="B42" s="72"/>
      <c r="C42" s="126"/>
      <c r="D42" s="30" t="s">
        <v>160</v>
      </c>
      <c r="E42" s="31" t="s">
        <v>4</v>
      </c>
      <c r="F42" s="25">
        <v>119</v>
      </c>
      <c r="G42" s="25">
        <v>24</v>
      </c>
      <c r="H42" s="25">
        <v>4</v>
      </c>
      <c r="I42" s="25">
        <v>2</v>
      </c>
      <c r="J42" s="25">
        <v>1</v>
      </c>
    </row>
    <row r="43" spans="1:16" x14ac:dyDescent="0.35">
      <c r="A43" s="72"/>
      <c r="B43" s="72"/>
      <c r="C43" s="126"/>
      <c r="D43" s="30" t="s">
        <v>160</v>
      </c>
      <c r="E43" s="31" t="s">
        <v>5</v>
      </c>
      <c r="F43" s="25">
        <v>118</v>
      </c>
      <c r="G43" s="25">
        <v>13</v>
      </c>
      <c r="H43" s="25">
        <v>9</v>
      </c>
      <c r="I43" s="25">
        <v>1</v>
      </c>
      <c r="J43" s="27"/>
      <c r="K43" s="2">
        <f>SUM(F38:F43)</f>
        <v>794</v>
      </c>
      <c r="L43" s="2">
        <f t="shared" ref="L43:O43" si="5">SUM(G38:G43)</f>
        <v>143</v>
      </c>
      <c r="M43" s="2">
        <f t="shared" si="5"/>
        <v>16</v>
      </c>
      <c r="N43" s="2">
        <f t="shared" si="5"/>
        <v>16</v>
      </c>
      <c r="O43" s="2">
        <f t="shared" si="5"/>
        <v>1</v>
      </c>
      <c r="P43" s="236">
        <f>SUM(K43:O43)</f>
        <v>970</v>
      </c>
    </row>
    <row r="44" spans="1:16" x14ac:dyDescent="0.35">
      <c r="A44" s="72" t="s">
        <v>388</v>
      </c>
      <c r="B44" s="217" t="s">
        <v>389</v>
      </c>
      <c r="C44" s="126">
        <v>1661</v>
      </c>
      <c r="D44" s="30" t="s">
        <v>158</v>
      </c>
      <c r="E44" s="31" t="s">
        <v>4</v>
      </c>
      <c r="F44" s="25">
        <v>147</v>
      </c>
      <c r="G44" s="25">
        <v>53</v>
      </c>
      <c r="H44" s="25">
        <v>9</v>
      </c>
      <c r="I44" s="25">
        <v>5</v>
      </c>
      <c r="J44" s="25">
        <v>1</v>
      </c>
    </row>
    <row r="45" spans="1:16" x14ac:dyDescent="0.35">
      <c r="A45" s="73"/>
      <c r="B45" s="73"/>
      <c r="C45" s="103"/>
      <c r="D45" s="30" t="s">
        <v>158</v>
      </c>
      <c r="E45" s="31" t="s">
        <v>5</v>
      </c>
      <c r="F45" s="25">
        <v>93</v>
      </c>
      <c r="G45" s="25">
        <v>31</v>
      </c>
      <c r="H45" s="25">
        <v>9</v>
      </c>
      <c r="I45" s="25">
        <v>3</v>
      </c>
      <c r="J45" s="27"/>
    </row>
    <row r="46" spans="1:16" x14ac:dyDescent="0.35">
      <c r="A46" s="73"/>
      <c r="B46" s="73"/>
      <c r="C46" s="103"/>
      <c r="D46" s="30" t="s">
        <v>158</v>
      </c>
      <c r="E46" s="31" t="s">
        <v>6</v>
      </c>
      <c r="F46" s="25">
        <v>119</v>
      </c>
      <c r="G46" s="25">
        <v>26</v>
      </c>
      <c r="H46" s="27"/>
      <c r="I46" s="25">
        <v>3</v>
      </c>
      <c r="J46" s="27"/>
    </row>
    <row r="47" spans="1:16" x14ac:dyDescent="0.35">
      <c r="A47" s="73"/>
      <c r="B47" s="73"/>
      <c r="C47" s="103"/>
      <c r="D47" s="30" t="s">
        <v>158</v>
      </c>
      <c r="E47" s="31" t="s">
        <v>7</v>
      </c>
      <c r="F47" s="25">
        <v>118</v>
      </c>
      <c r="G47" s="25">
        <v>16</v>
      </c>
      <c r="H47" s="25">
        <v>6</v>
      </c>
      <c r="I47" s="25">
        <v>4</v>
      </c>
      <c r="J47" s="27"/>
    </row>
    <row r="48" spans="1:16" x14ac:dyDescent="0.35">
      <c r="A48" s="73"/>
      <c r="B48" s="73"/>
      <c r="C48" s="103"/>
      <c r="D48" s="30" t="s">
        <v>160</v>
      </c>
      <c r="E48" s="31" t="s">
        <v>6</v>
      </c>
      <c r="F48" s="25">
        <v>264</v>
      </c>
      <c r="G48" s="25">
        <v>21</v>
      </c>
      <c r="H48" s="25">
        <v>10</v>
      </c>
      <c r="I48" s="25">
        <v>8</v>
      </c>
      <c r="J48" s="27"/>
      <c r="K48" s="2">
        <f>SUM(F44:F48)</f>
        <v>741</v>
      </c>
      <c r="L48" s="2">
        <f t="shared" ref="L48:O48" si="6">SUM(G44:G48)</f>
        <v>147</v>
      </c>
      <c r="M48" s="2">
        <f t="shared" si="6"/>
        <v>34</v>
      </c>
      <c r="N48" s="2">
        <f t="shared" si="6"/>
        <v>23</v>
      </c>
      <c r="O48" s="2">
        <f t="shared" si="6"/>
        <v>1</v>
      </c>
      <c r="P48" s="236">
        <f>SUM(K48:O48)</f>
        <v>946</v>
      </c>
    </row>
    <row r="49" spans="1:16" x14ac:dyDescent="0.35">
      <c r="A49" s="127" t="s">
        <v>390</v>
      </c>
      <c r="B49" s="127" t="s">
        <v>391</v>
      </c>
      <c r="C49" s="128">
        <v>3072</v>
      </c>
      <c r="D49" s="30" t="s">
        <v>159</v>
      </c>
      <c r="E49" s="31" t="s">
        <v>17</v>
      </c>
      <c r="F49" s="21">
        <v>26</v>
      </c>
      <c r="G49" s="21">
        <v>7</v>
      </c>
      <c r="H49" s="21">
        <v>5</v>
      </c>
      <c r="I49" s="21">
        <v>2</v>
      </c>
      <c r="J49" s="26"/>
    </row>
    <row r="50" spans="1:16" x14ac:dyDescent="0.35">
      <c r="A50" s="124"/>
      <c r="B50" s="124"/>
      <c r="C50" s="125"/>
      <c r="D50" s="30" t="s">
        <v>159</v>
      </c>
      <c r="E50" s="31" t="s">
        <v>2</v>
      </c>
      <c r="F50" s="21">
        <v>62</v>
      </c>
      <c r="G50" s="21">
        <v>23</v>
      </c>
      <c r="H50" s="26"/>
      <c r="I50" s="21">
        <v>1</v>
      </c>
      <c r="J50" s="26"/>
    </row>
    <row r="51" spans="1:16" x14ac:dyDescent="0.35">
      <c r="A51" s="124"/>
      <c r="B51" s="124"/>
      <c r="C51" s="125"/>
      <c r="D51" s="30" t="s">
        <v>159</v>
      </c>
      <c r="E51" s="31" t="s">
        <v>3</v>
      </c>
      <c r="F51" s="21">
        <v>49</v>
      </c>
      <c r="G51" s="21">
        <v>13</v>
      </c>
      <c r="H51" s="21">
        <v>7</v>
      </c>
      <c r="I51" s="21">
        <v>1</v>
      </c>
      <c r="J51" s="26"/>
    </row>
    <row r="52" spans="1:16" x14ac:dyDescent="0.35">
      <c r="A52" s="124"/>
      <c r="B52" s="124"/>
      <c r="C52" s="125"/>
      <c r="D52" s="30" t="s">
        <v>159</v>
      </c>
      <c r="E52" s="31" t="s">
        <v>4</v>
      </c>
      <c r="F52" s="21">
        <v>72</v>
      </c>
      <c r="G52" s="21">
        <v>14</v>
      </c>
      <c r="H52" s="21">
        <v>1</v>
      </c>
      <c r="I52" s="21">
        <v>4</v>
      </c>
      <c r="J52" s="26"/>
    </row>
    <row r="53" spans="1:16" x14ac:dyDescent="0.35">
      <c r="A53" s="124"/>
      <c r="B53" s="124"/>
      <c r="C53" s="125"/>
      <c r="D53" s="30" t="s">
        <v>159</v>
      </c>
      <c r="E53" s="31" t="s">
        <v>5</v>
      </c>
      <c r="F53" s="21">
        <v>90</v>
      </c>
      <c r="G53" s="21">
        <v>5</v>
      </c>
      <c r="H53" s="21">
        <v>8</v>
      </c>
      <c r="I53" s="21">
        <v>1</v>
      </c>
      <c r="J53" s="26"/>
    </row>
    <row r="54" spans="1:16" x14ac:dyDescent="0.35">
      <c r="A54" s="124"/>
      <c r="B54" s="124"/>
      <c r="C54" s="125"/>
      <c r="D54" s="30" t="s">
        <v>159</v>
      </c>
      <c r="E54" s="31" t="s">
        <v>6</v>
      </c>
      <c r="F54" s="21">
        <v>79</v>
      </c>
      <c r="G54" s="21">
        <v>14</v>
      </c>
      <c r="H54" s="21">
        <v>6</v>
      </c>
      <c r="I54" s="21">
        <v>4</v>
      </c>
      <c r="J54" s="26"/>
    </row>
    <row r="55" spans="1:16" x14ac:dyDescent="0.35">
      <c r="A55" s="124"/>
      <c r="B55" s="124"/>
      <c r="C55" s="125"/>
      <c r="D55" s="30" t="s">
        <v>159</v>
      </c>
      <c r="E55" s="31" t="s">
        <v>7</v>
      </c>
      <c r="F55" s="21">
        <v>152</v>
      </c>
      <c r="G55" s="21">
        <v>35</v>
      </c>
      <c r="H55" s="21">
        <v>14</v>
      </c>
      <c r="I55" s="21">
        <v>4</v>
      </c>
      <c r="J55" s="26"/>
    </row>
    <row r="56" spans="1:16" x14ac:dyDescent="0.35">
      <c r="A56" s="124"/>
      <c r="B56" s="124"/>
      <c r="C56" s="125"/>
      <c r="D56" s="30" t="s">
        <v>159</v>
      </c>
      <c r="E56" s="31" t="s">
        <v>8</v>
      </c>
      <c r="F56" s="21">
        <v>142</v>
      </c>
      <c r="G56" s="21">
        <v>20</v>
      </c>
      <c r="H56" s="21">
        <v>14</v>
      </c>
      <c r="I56" s="21">
        <v>4</v>
      </c>
      <c r="J56" s="26"/>
    </row>
    <row r="57" spans="1:16" x14ac:dyDescent="0.35">
      <c r="A57" s="124"/>
      <c r="B57" s="124"/>
      <c r="C57" s="125"/>
      <c r="D57" s="30" t="s">
        <v>159</v>
      </c>
      <c r="E57" s="31" t="s">
        <v>9</v>
      </c>
      <c r="F57" s="21">
        <v>130</v>
      </c>
      <c r="G57" s="21">
        <v>15</v>
      </c>
      <c r="H57" s="21">
        <v>3</v>
      </c>
      <c r="I57" s="21">
        <v>2</v>
      </c>
      <c r="J57" s="26"/>
      <c r="K57" s="2">
        <f>SUM(F49:F57)</f>
        <v>802</v>
      </c>
      <c r="L57" s="2">
        <f t="shared" ref="L57:O57" si="7">SUM(G49:G57)</f>
        <v>146</v>
      </c>
      <c r="M57" s="2">
        <f t="shared" si="7"/>
        <v>58</v>
      </c>
      <c r="N57" s="2">
        <f t="shared" si="7"/>
        <v>23</v>
      </c>
      <c r="O57" s="2">
        <f t="shared" si="7"/>
        <v>0</v>
      </c>
      <c r="P57" s="236">
        <f>SUM(K57:O57)</f>
        <v>1029</v>
      </c>
    </row>
    <row r="58" spans="1:16" x14ac:dyDescent="0.35">
      <c r="A58" s="72" t="s">
        <v>633</v>
      </c>
      <c r="B58" s="72" t="s">
        <v>634</v>
      </c>
      <c r="C58" s="126">
        <v>2408</v>
      </c>
      <c r="D58" s="30" t="s">
        <v>160</v>
      </c>
      <c r="E58" s="31" t="s">
        <v>2</v>
      </c>
      <c r="F58" s="25">
        <v>58</v>
      </c>
      <c r="G58" s="25">
        <v>57</v>
      </c>
      <c r="H58" s="25">
        <v>1</v>
      </c>
      <c r="I58" s="25">
        <v>2</v>
      </c>
      <c r="J58" s="27"/>
    </row>
    <row r="59" spans="1:16" x14ac:dyDescent="0.35">
      <c r="A59" s="73"/>
      <c r="B59" s="73"/>
      <c r="C59" s="103"/>
      <c r="D59" s="30" t="s">
        <v>160</v>
      </c>
      <c r="E59" s="31" t="s">
        <v>7</v>
      </c>
      <c r="F59" s="25">
        <v>168</v>
      </c>
      <c r="G59" s="25">
        <v>54</v>
      </c>
      <c r="H59" s="25">
        <v>7</v>
      </c>
      <c r="I59" s="25">
        <v>4</v>
      </c>
      <c r="J59" s="27"/>
    </row>
    <row r="60" spans="1:16" x14ac:dyDescent="0.35">
      <c r="A60" s="73"/>
      <c r="B60" s="73"/>
      <c r="C60" s="103"/>
      <c r="D60" s="30" t="s">
        <v>159</v>
      </c>
      <c r="E60" s="31" t="s">
        <v>11</v>
      </c>
      <c r="F60" s="21">
        <v>79</v>
      </c>
      <c r="G60" s="21">
        <v>9</v>
      </c>
      <c r="H60" s="26"/>
      <c r="I60" s="26"/>
      <c r="J60" s="26"/>
    </row>
    <row r="61" spans="1:16" x14ac:dyDescent="0.35">
      <c r="A61" s="73"/>
      <c r="B61" s="73"/>
      <c r="C61" s="103"/>
      <c r="D61" s="204" t="s">
        <v>157</v>
      </c>
      <c r="E61" s="205" t="s">
        <v>4</v>
      </c>
      <c r="F61" s="208">
        <v>201</v>
      </c>
      <c r="G61" s="208">
        <v>40</v>
      </c>
      <c r="H61" s="208">
        <v>1</v>
      </c>
      <c r="I61" s="208">
        <v>3</v>
      </c>
      <c r="J61" s="208">
        <v>1</v>
      </c>
    </row>
    <row r="62" spans="1:16" x14ac:dyDescent="0.35">
      <c r="A62" s="73"/>
      <c r="B62" s="73"/>
      <c r="C62" s="103"/>
      <c r="D62" s="204" t="s">
        <v>157</v>
      </c>
      <c r="E62" s="205" t="s">
        <v>5</v>
      </c>
      <c r="F62" s="208">
        <v>205</v>
      </c>
      <c r="G62" s="208">
        <v>31</v>
      </c>
      <c r="H62" s="208">
        <v>2</v>
      </c>
      <c r="I62" s="208">
        <v>3</v>
      </c>
      <c r="J62" s="209"/>
      <c r="K62" s="2">
        <f>SUM(F58:F62)</f>
        <v>711</v>
      </c>
      <c r="L62" s="2">
        <f t="shared" ref="L62:O62" si="8">SUM(G58:G62)</f>
        <v>191</v>
      </c>
      <c r="M62" s="2">
        <f t="shared" si="8"/>
        <v>11</v>
      </c>
      <c r="N62" s="2">
        <f t="shared" si="8"/>
        <v>12</v>
      </c>
      <c r="O62" s="2">
        <f t="shared" si="8"/>
        <v>1</v>
      </c>
      <c r="P62" s="237">
        <f>SUM(K62:O62)+C58</f>
        <v>3334</v>
      </c>
    </row>
    <row r="63" spans="1:16" x14ac:dyDescent="0.35">
      <c r="A63" s="120"/>
      <c r="B63" s="120" t="s">
        <v>723</v>
      </c>
      <c r="C63" s="121">
        <f>SUM(C5:C58)</f>
        <v>26878</v>
      </c>
      <c r="D63" s="316" t="s">
        <v>231</v>
      </c>
      <c r="E63" s="316"/>
      <c r="F63" s="32">
        <f>SUM(F5:F60)</f>
        <v>7635</v>
      </c>
      <c r="G63" s="32">
        <f>SUM(G5:G60)</f>
        <v>1796</v>
      </c>
      <c r="H63" s="32">
        <f>SUM(H5:H60)</f>
        <v>251</v>
      </c>
      <c r="I63" s="32">
        <f>SUM(I5:I60)</f>
        <v>257</v>
      </c>
      <c r="J63" s="32">
        <f>SUM(J5:J60)</f>
        <v>14</v>
      </c>
    </row>
    <row r="64" spans="1:16" x14ac:dyDescent="0.35">
      <c r="A64" s="315" t="s">
        <v>740</v>
      </c>
      <c r="B64" s="315"/>
      <c r="C64" s="121">
        <f>SUM(C63,F63,G63,H63,I63,J63)</f>
        <v>36831</v>
      </c>
    </row>
  </sheetData>
  <mergeCells count="7">
    <mergeCell ref="A64:B64"/>
    <mergeCell ref="D63:E63"/>
    <mergeCell ref="D1:J1"/>
    <mergeCell ref="D2:J2"/>
    <mergeCell ref="A1:C1"/>
    <mergeCell ref="A2:C2"/>
    <mergeCell ref="F3:J3"/>
  </mergeCells>
  <pageMargins left="0.31496062992125984" right="0.15748031496062992" top="0.21" bottom="0.1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61" workbookViewId="0">
      <selection activeCell="C12" sqref="C12"/>
    </sheetView>
  </sheetViews>
  <sheetFormatPr defaultRowHeight="21" x14ac:dyDescent="0.35"/>
  <cols>
    <col min="1" max="1" width="11.85546875" style="2" customWidth="1"/>
    <col min="2" max="2" width="21.28515625" style="2" customWidth="1"/>
    <col min="3" max="3" width="18" style="95" customWidth="1"/>
    <col min="4" max="4" width="13.7109375" style="2" customWidth="1"/>
    <col min="5" max="5" width="9.140625" style="22"/>
    <col min="6" max="6" width="12.140625" style="22" customWidth="1"/>
    <col min="7" max="7" width="10.42578125" style="22" customWidth="1"/>
    <col min="8" max="8" width="9.140625" style="22"/>
    <col min="9" max="9" width="18.85546875" style="22" customWidth="1"/>
    <col min="10" max="10" width="14" style="22" customWidth="1"/>
    <col min="11" max="16384" width="9.140625" style="2"/>
  </cols>
  <sheetData>
    <row r="1" spans="1:16" x14ac:dyDescent="0.35">
      <c r="A1" s="302" t="s">
        <v>741</v>
      </c>
      <c r="B1" s="302"/>
      <c r="C1" s="302"/>
      <c r="D1" s="317" t="s">
        <v>239</v>
      </c>
      <c r="E1" s="318"/>
      <c r="F1" s="318"/>
      <c r="G1" s="318"/>
      <c r="H1" s="318"/>
      <c r="I1" s="318"/>
      <c r="J1" s="318"/>
    </row>
    <row r="2" spans="1:16" x14ac:dyDescent="0.35">
      <c r="A2" s="302" t="s">
        <v>720</v>
      </c>
      <c r="B2" s="302"/>
      <c r="C2" s="302"/>
      <c r="D2" s="317" t="s">
        <v>230</v>
      </c>
      <c r="E2" s="317"/>
      <c r="F2" s="317"/>
      <c r="G2" s="317"/>
      <c r="H2" s="317"/>
      <c r="I2" s="317"/>
      <c r="J2" s="317"/>
    </row>
    <row r="3" spans="1:16" x14ac:dyDescent="0.35">
      <c r="A3" s="91"/>
      <c r="B3" s="91"/>
      <c r="C3" s="110"/>
      <c r="D3" s="42"/>
      <c r="E3" s="42"/>
      <c r="F3" s="322" t="s">
        <v>718</v>
      </c>
      <c r="G3" s="322"/>
      <c r="H3" s="322"/>
      <c r="I3" s="322"/>
      <c r="J3" s="322"/>
    </row>
    <row r="4" spans="1:16" x14ac:dyDescent="0.35">
      <c r="A4" s="129" t="s">
        <v>716</v>
      </c>
      <c r="B4" s="129" t="s">
        <v>256</v>
      </c>
      <c r="C4" s="77" t="s">
        <v>717</v>
      </c>
      <c r="D4" s="33" t="s">
        <v>223</v>
      </c>
      <c r="E4" s="35" t="s">
        <v>222</v>
      </c>
      <c r="F4" s="35" t="s">
        <v>218</v>
      </c>
      <c r="G4" s="35" t="s">
        <v>219</v>
      </c>
      <c r="H4" s="35" t="s">
        <v>220</v>
      </c>
      <c r="I4" s="35" t="s">
        <v>238</v>
      </c>
      <c r="J4" s="35" t="s">
        <v>221</v>
      </c>
    </row>
    <row r="5" spans="1:16" x14ac:dyDescent="0.35">
      <c r="A5" s="93" t="s">
        <v>641</v>
      </c>
      <c r="B5" s="93" t="s">
        <v>642</v>
      </c>
      <c r="C5" s="104">
        <v>7254</v>
      </c>
      <c r="D5" s="34" t="s">
        <v>161</v>
      </c>
      <c r="E5" s="36" t="s">
        <v>17</v>
      </c>
      <c r="F5" s="37">
        <v>301</v>
      </c>
      <c r="G5" s="37">
        <v>26</v>
      </c>
      <c r="H5" s="37">
        <v>9</v>
      </c>
      <c r="I5" s="38">
        <v>4</v>
      </c>
      <c r="J5" s="38"/>
    </row>
    <row r="6" spans="1:16" x14ac:dyDescent="0.35">
      <c r="A6" s="61"/>
      <c r="B6" s="61"/>
      <c r="C6" s="105"/>
      <c r="D6" s="34" t="s">
        <v>161</v>
      </c>
      <c r="E6" s="36" t="s">
        <v>2</v>
      </c>
      <c r="F6" s="37">
        <v>295</v>
      </c>
      <c r="G6" s="37">
        <v>30</v>
      </c>
      <c r="H6" s="37">
        <v>4</v>
      </c>
      <c r="I6" s="37">
        <v>9</v>
      </c>
      <c r="J6" s="38"/>
      <c r="P6" s="78"/>
    </row>
    <row r="7" spans="1:16" x14ac:dyDescent="0.35">
      <c r="A7" s="61"/>
      <c r="B7" s="61"/>
      <c r="C7" s="105"/>
      <c r="D7" s="34" t="s">
        <v>161</v>
      </c>
      <c r="E7" s="36" t="s">
        <v>3</v>
      </c>
      <c r="F7" s="37">
        <v>352</v>
      </c>
      <c r="G7" s="37">
        <v>50</v>
      </c>
      <c r="H7" s="37">
        <v>17</v>
      </c>
      <c r="I7" s="37">
        <v>10</v>
      </c>
      <c r="J7" s="38"/>
    </row>
    <row r="8" spans="1:16" x14ac:dyDescent="0.35">
      <c r="A8" s="61"/>
      <c r="B8" s="61"/>
      <c r="C8" s="105"/>
      <c r="D8" s="34" t="s">
        <v>161</v>
      </c>
      <c r="E8" s="36" t="s">
        <v>4</v>
      </c>
      <c r="F8" s="37">
        <v>363</v>
      </c>
      <c r="G8" s="37">
        <v>169</v>
      </c>
      <c r="H8" s="37">
        <v>8</v>
      </c>
      <c r="I8" s="37">
        <v>20</v>
      </c>
      <c r="J8" s="38"/>
    </row>
    <row r="9" spans="1:16" x14ac:dyDescent="0.35">
      <c r="A9" s="61"/>
      <c r="B9" s="61"/>
      <c r="C9" s="105"/>
      <c r="D9" s="34" t="s">
        <v>161</v>
      </c>
      <c r="E9" s="36" t="s">
        <v>5</v>
      </c>
      <c r="F9" s="37">
        <v>359</v>
      </c>
      <c r="G9" s="37">
        <v>119</v>
      </c>
      <c r="H9" s="37">
        <v>13</v>
      </c>
      <c r="I9" s="37">
        <v>19</v>
      </c>
      <c r="J9" s="38"/>
    </row>
    <row r="10" spans="1:16" x14ac:dyDescent="0.35">
      <c r="A10" s="61"/>
      <c r="B10" s="61"/>
      <c r="C10" s="105"/>
      <c r="D10" s="34" t="s">
        <v>161</v>
      </c>
      <c r="E10" s="36" t="s">
        <v>6</v>
      </c>
      <c r="F10" s="37">
        <v>541</v>
      </c>
      <c r="G10" s="37">
        <v>110</v>
      </c>
      <c r="H10" s="37">
        <v>6</v>
      </c>
      <c r="I10" s="37">
        <v>15</v>
      </c>
      <c r="J10" s="37">
        <v>1</v>
      </c>
    </row>
    <row r="11" spans="1:16" x14ac:dyDescent="0.35">
      <c r="A11" s="61"/>
      <c r="B11" s="61"/>
      <c r="C11" s="105"/>
      <c r="D11" s="34" t="s">
        <v>161</v>
      </c>
      <c r="E11" s="36" t="s">
        <v>7</v>
      </c>
      <c r="F11" s="37">
        <v>572</v>
      </c>
      <c r="G11" s="37">
        <v>91</v>
      </c>
      <c r="H11" s="37">
        <v>6</v>
      </c>
      <c r="I11" s="37">
        <v>16</v>
      </c>
      <c r="J11" s="37">
        <v>2</v>
      </c>
    </row>
    <row r="12" spans="1:16" x14ac:dyDescent="0.35">
      <c r="A12" s="61"/>
      <c r="B12" s="61"/>
      <c r="C12" s="105"/>
      <c r="D12" s="34" t="s">
        <v>161</v>
      </c>
      <c r="E12" s="36" t="s">
        <v>8</v>
      </c>
      <c r="F12" s="37">
        <v>174</v>
      </c>
      <c r="G12" s="37">
        <v>27</v>
      </c>
      <c r="H12" s="37">
        <v>4</v>
      </c>
      <c r="I12" s="37">
        <v>3</v>
      </c>
      <c r="J12" s="38"/>
    </row>
    <row r="13" spans="1:16" x14ac:dyDescent="0.35">
      <c r="A13" s="61"/>
      <c r="B13" s="61"/>
      <c r="C13" s="105"/>
      <c r="D13" s="34" t="s">
        <v>161</v>
      </c>
      <c r="E13" s="36" t="s">
        <v>9</v>
      </c>
      <c r="F13" s="37">
        <v>76</v>
      </c>
      <c r="G13" s="37">
        <v>16</v>
      </c>
      <c r="H13" s="38"/>
      <c r="I13" s="37">
        <v>3</v>
      </c>
      <c r="J13" s="38"/>
    </row>
    <row r="14" spans="1:16" x14ac:dyDescent="0.35">
      <c r="A14" s="61"/>
      <c r="B14" s="61"/>
      <c r="C14" s="105"/>
      <c r="D14" s="34" t="s">
        <v>161</v>
      </c>
      <c r="E14" s="36" t="s">
        <v>11</v>
      </c>
      <c r="F14" s="37">
        <v>177</v>
      </c>
      <c r="G14" s="37">
        <v>12</v>
      </c>
      <c r="H14" s="37">
        <v>4</v>
      </c>
      <c r="I14" s="37">
        <v>5</v>
      </c>
      <c r="J14" s="38"/>
    </row>
    <row r="15" spans="1:16" x14ac:dyDescent="0.35">
      <c r="A15" s="61"/>
      <c r="B15" s="61"/>
      <c r="C15" s="105"/>
      <c r="D15" s="34" t="s">
        <v>161</v>
      </c>
      <c r="E15" s="36" t="s">
        <v>12</v>
      </c>
      <c r="F15" s="37">
        <v>31</v>
      </c>
      <c r="G15" s="37">
        <v>10</v>
      </c>
      <c r="H15" s="37">
        <v>1</v>
      </c>
      <c r="I15" s="37">
        <v>2</v>
      </c>
      <c r="J15" s="38"/>
    </row>
    <row r="16" spans="1:16" x14ac:dyDescent="0.35">
      <c r="A16" s="61"/>
      <c r="B16" s="61"/>
      <c r="C16" s="105"/>
      <c r="D16" s="34" t="s">
        <v>161</v>
      </c>
      <c r="E16" s="36" t="s">
        <v>13</v>
      </c>
      <c r="F16" s="37">
        <v>768</v>
      </c>
      <c r="G16" s="37">
        <v>152</v>
      </c>
      <c r="H16" s="37">
        <v>8</v>
      </c>
      <c r="I16" s="37">
        <v>41</v>
      </c>
      <c r="J16" s="38"/>
    </row>
    <row r="17" spans="1:15" x14ac:dyDescent="0.35">
      <c r="A17" s="61"/>
      <c r="B17" s="61"/>
      <c r="C17" s="105"/>
      <c r="D17" s="34" t="s">
        <v>161</v>
      </c>
      <c r="E17" s="36" t="s">
        <v>21</v>
      </c>
      <c r="F17" s="37">
        <v>182</v>
      </c>
      <c r="G17" s="37">
        <v>7</v>
      </c>
      <c r="H17" s="37">
        <v>3</v>
      </c>
      <c r="I17" s="37">
        <v>4</v>
      </c>
      <c r="J17" s="38"/>
      <c r="K17" s="2">
        <f>SUM(F5:F17)</f>
        <v>4191</v>
      </c>
      <c r="L17" s="2">
        <f t="shared" ref="L17:O17" si="0">SUM(G5:G17)</f>
        <v>819</v>
      </c>
      <c r="M17" s="2">
        <f t="shared" si="0"/>
        <v>83</v>
      </c>
      <c r="N17" s="2">
        <f t="shared" si="0"/>
        <v>151</v>
      </c>
      <c r="O17" s="2">
        <f t="shared" si="0"/>
        <v>3</v>
      </c>
    </row>
    <row r="18" spans="1:15" x14ac:dyDescent="0.35">
      <c r="A18" s="94" t="s">
        <v>547</v>
      </c>
      <c r="B18" s="94" t="s">
        <v>548</v>
      </c>
      <c r="C18" s="114">
        <v>4761</v>
      </c>
      <c r="D18" s="34" t="s">
        <v>162</v>
      </c>
      <c r="E18" s="36" t="s">
        <v>17</v>
      </c>
      <c r="F18" s="39">
        <v>111</v>
      </c>
      <c r="G18" s="39">
        <v>27</v>
      </c>
      <c r="H18" s="39">
        <v>2</v>
      </c>
      <c r="I18" s="39">
        <v>3</v>
      </c>
      <c r="J18" s="40"/>
    </row>
    <row r="19" spans="1:15" x14ac:dyDescent="0.35">
      <c r="A19" s="75"/>
      <c r="B19" s="75"/>
      <c r="C19" s="131"/>
      <c r="D19" s="34" t="s">
        <v>162</v>
      </c>
      <c r="E19" s="36" t="s">
        <v>2</v>
      </c>
      <c r="F19" s="39">
        <v>181</v>
      </c>
      <c r="G19" s="39">
        <v>35</v>
      </c>
      <c r="H19" s="40"/>
      <c r="I19" s="39">
        <v>2</v>
      </c>
      <c r="J19" s="40"/>
    </row>
    <row r="20" spans="1:15" x14ac:dyDescent="0.35">
      <c r="A20" s="75"/>
      <c r="B20" s="75"/>
      <c r="C20" s="131"/>
      <c r="D20" s="34" t="s">
        <v>162</v>
      </c>
      <c r="E20" s="36" t="s">
        <v>3</v>
      </c>
      <c r="F20" s="39">
        <v>88</v>
      </c>
      <c r="G20" s="39">
        <v>17</v>
      </c>
      <c r="H20" s="40"/>
      <c r="I20" s="39">
        <v>3</v>
      </c>
      <c r="J20" s="40"/>
    </row>
    <row r="21" spans="1:15" x14ac:dyDescent="0.35">
      <c r="A21" s="75"/>
      <c r="B21" s="75"/>
      <c r="C21" s="131"/>
      <c r="D21" s="34" t="s">
        <v>162</v>
      </c>
      <c r="E21" s="36" t="s">
        <v>4</v>
      </c>
      <c r="F21" s="39">
        <v>162</v>
      </c>
      <c r="G21" s="39">
        <v>24</v>
      </c>
      <c r="H21" s="40"/>
      <c r="I21" s="39">
        <v>5</v>
      </c>
      <c r="J21" s="40"/>
    </row>
    <row r="22" spans="1:15" x14ac:dyDescent="0.35">
      <c r="A22" s="75"/>
      <c r="B22" s="75"/>
      <c r="C22" s="131"/>
      <c r="D22" s="34" t="s">
        <v>162</v>
      </c>
      <c r="E22" s="36" t="s">
        <v>5</v>
      </c>
      <c r="F22" s="39">
        <v>487</v>
      </c>
      <c r="G22" s="39">
        <v>50</v>
      </c>
      <c r="H22" s="39">
        <v>6</v>
      </c>
      <c r="I22" s="39">
        <v>14</v>
      </c>
      <c r="J22" s="40"/>
    </row>
    <row r="23" spans="1:15" x14ac:dyDescent="0.35">
      <c r="A23" s="75"/>
      <c r="B23" s="75"/>
      <c r="C23" s="131"/>
      <c r="D23" s="34" t="s">
        <v>162</v>
      </c>
      <c r="E23" s="36" t="s">
        <v>6</v>
      </c>
      <c r="F23" s="39">
        <v>89</v>
      </c>
      <c r="G23" s="39">
        <v>12</v>
      </c>
      <c r="H23" s="40"/>
      <c r="I23" s="39">
        <v>1</v>
      </c>
      <c r="J23" s="40"/>
    </row>
    <row r="24" spans="1:15" x14ac:dyDescent="0.35">
      <c r="A24" s="75"/>
      <c r="B24" s="75"/>
      <c r="C24" s="131"/>
      <c r="D24" s="34" t="s">
        <v>162</v>
      </c>
      <c r="E24" s="36" t="s">
        <v>7</v>
      </c>
      <c r="F24" s="39">
        <v>83</v>
      </c>
      <c r="G24" s="39">
        <v>29</v>
      </c>
      <c r="H24" s="40"/>
      <c r="I24" s="39">
        <v>2</v>
      </c>
      <c r="J24" s="40"/>
    </row>
    <row r="25" spans="1:15" x14ac:dyDescent="0.35">
      <c r="A25" s="75"/>
      <c r="B25" s="75"/>
      <c r="C25" s="131"/>
      <c r="D25" s="34" t="s">
        <v>162</v>
      </c>
      <c r="E25" s="36" t="s">
        <v>8</v>
      </c>
      <c r="F25" s="39">
        <v>176</v>
      </c>
      <c r="G25" s="39">
        <v>17</v>
      </c>
      <c r="H25" s="39">
        <v>4</v>
      </c>
      <c r="I25" s="39">
        <v>2</v>
      </c>
      <c r="J25" s="40"/>
    </row>
    <row r="26" spans="1:15" x14ac:dyDescent="0.35">
      <c r="A26" s="75"/>
      <c r="B26" s="75"/>
      <c r="C26" s="131"/>
      <c r="D26" s="34" t="s">
        <v>162</v>
      </c>
      <c r="E26" s="36" t="s">
        <v>9</v>
      </c>
      <c r="F26" s="39">
        <v>202</v>
      </c>
      <c r="G26" s="39">
        <v>32</v>
      </c>
      <c r="H26" s="39">
        <v>9</v>
      </c>
      <c r="I26" s="39">
        <v>6</v>
      </c>
      <c r="J26" s="40"/>
    </row>
    <row r="27" spans="1:15" x14ac:dyDescent="0.35">
      <c r="A27" s="75"/>
      <c r="B27" s="75"/>
      <c r="C27" s="131"/>
      <c r="D27" s="34" t="s">
        <v>162</v>
      </c>
      <c r="E27" s="36" t="s">
        <v>11</v>
      </c>
      <c r="F27" s="39">
        <v>251</v>
      </c>
      <c r="G27" s="39">
        <v>27</v>
      </c>
      <c r="H27" s="40"/>
      <c r="I27" s="39">
        <v>5</v>
      </c>
      <c r="J27" s="40"/>
      <c r="K27" s="2">
        <f>SUM(F18:F27)</f>
        <v>1830</v>
      </c>
      <c r="L27" s="2">
        <f t="shared" ref="L27:O27" si="1">SUM(G18:G27)</f>
        <v>270</v>
      </c>
      <c r="M27" s="2">
        <f t="shared" si="1"/>
        <v>21</v>
      </c>
      <c r="N27" s="2">
        <f t="shared" si="1"/>
        <v>43</v>
      </c>
      <c r="O27" s="2">
        <f t="shared" si="1"/>
        <v>0</v>
      </c>
    </row>
    <row r="28" spans="1:15" x14ac:dyDescent="0.35">
      <c r="A28" s="93" t="s">
        <v>639</v>
      </c>
      <c r="B28" s="93" t="s">
        <v>640</v>
      </c>
      <c r="C28" s="104">
        <v>3018</v>
      </c>
      <c r="D28" s="34" t="s">
        <v>163</v>
      </c>
      <c r="E28" s="36" t="s">
        <v>17</v>
      </c>
      <c r="F28" s="37">
        <v>227</v>
      </c>
      <c r="G28" s="37">
        <v>31</v>
      </c>
      <c r="H28" s="37">
        <v>5</v>
      </c>
      <c r="I28" s="37">
        <v>11</v>
      </c>
      <c r="J28" s="37">
        <v>2</v>
      </c>
    </row>
    <row r="29" spans="1:15" x14ac:dyDescent="0.35">
      <c r="A29" s="61"/>
      <c r="B29" s="61"/>
      <c r="C29" s="105"/>
      <c r="D29" s="34" t="s">
        <v>163</v>
      </c>
      <c r="E29" s="36" t="s">
        <v>2</v>
      </c>
      <c r="F29" s="37">
        <v>157</v>
      </c>
      <c r="G29" s="37">
        <v>31</v>
      </c>
      <c r="H29" s="37">
        <v>3</v>
      </c>
      <c r="I29" s="37">
        <v>6</v>
      </c>
      <c r="J29" s="38"/>
    </row>
    <row r="30" spans="1:15" x14ac:dyDescent="0.35">
      <c r="A30" s="61"/>
      <c r="B30" s="61"/>
      <c r="C30" s="105"/>
      <c r="D30" s="34" t="s">
        <v>163</v>
      </c>
      <c r="E30" s="36" t="s">
        <v>3</v>
      </c>
      <c r="F30" s="37">
        <v>170</v>
      </c>
      <c r="G30" s="37">
        <v>42</v>
      </c>
      <c r="H30" s="37">
        <v>10</v>
      </c>
      <c r="I30" s="37">
        <v>4</v>
      </c>
      <c r="J30" s="38"/>
    </row>
    <row r="31" spans="1:15" x14ac:dyDescent="0.35">
      <c r="A31" s="61"/>
      <c r="B31" s="61"/>
      <c r="C31" s="105"/>
      <c r="D31" s="34" t="s">
        <v>163</v>
      </c>
      <c r="E31" s="36" t="s">
        <v>4</v>
      </c>
      <c r="F31" s="37">
        <v>96</v>
      </c>
      <c r="G31" s="37">
        <v>14</v>
      </c>
      <c r="H31" s="37">
        <v>5</v>
      </c>
      <c r="I31" s="37">
        <v>4</v>
      </c>
      <c r="J31" s="38"/>
    </row>
    <row r="32" spans="1:15" x14ac:dyDescent="0.35">
      <c r="A32" s="61"/>
      <c r="B32" s="61"/>
      <c r="C32" s="105"/>
      <c r="D32" s="34" t="s">
        <v>163</v>
      </c>
      <c r="E32" s="36" t="s">
        <v>5</v>
      </c>
      <c r="F32" s="37">
        <v>131</v>
      </c>
      <c r="G32" s="37">
        <v>11</v>
      </c>
      <c r="H32" s="38"/>
      <c r="I32" s="37">
        <v>1</v>
      </c>
      <c r="J32" s="37">
        <v>1</v>
      </c>
    </row>
    <row r="33" spans="1:15" x14ac:dyDescent="0.35">
      <c r="A33" s="61"/>
      <c r="B33" s="61"/>
      <c r="C33" s="105"/>
      <c r="D33" s="34" t="s">
        <v>163</v>
      </c>
      <c r="E33" s="36" t="s">
        <v>6</v>
      </c>
      <c r="F33" s="37">
        <v>188</v>
      </c>
      <c r="G33" s="37">
        <v>32</v>
      </c>
      <c r="H33" s="37">
        <v>4</v>
      </c>
      <c r="I33" s="37">
        <v>8</v>
      </c>
      <c r="J33" s="38"/>
    </row>
    <row r="34" spans="1:15" x14ac:dyDescent="0.35">
      <c r="A34" s="61"/>
      <c r="B34" s="61"/>
      <c r="C34" s="105"/>
      <c r="D34" s="34" t="s">
        <v>163</v>
      </c>
      <c r="E34" s="36" t="s">
        <v>7</v>
      </c>
      <c r="F34" s="37">
        <v>107</v>
      </c>
      <c r="G34" s="37">
        <v>11</v>
      </c>
      <c r="H34" s="38"/>
      <c r="I34" s="38"/>
      <c r="J34" s="38"/>
    </row>
    <row r="35" spans="1:15" x14ac:dyDescent="0.35">
      <c r="A35" s="61"/>
      <c r="B35" s="61"/>
      <c r="C35" s="105"/>
      <c r="D35" s="34" t="s">
        <v>163</v>
      </c>
      <c r="E35" s="36" t="s">
        <v>8</v>
      </c>
      <c r="F35" s="37">
        <v>317</v>
      </c>
      <c r="G35" s="37">
        <v>214</v>
      </c>
      <c r="H35" s="37">
        <v>6</v>
      </c>
      <c r="I35" s="37">
        <v>24</v>
      </c>
      <c r="J35" s="37">
        <v>3</v>
      </c>
      <c r="K35" s="2">
        <f>SUM(F28:F35)</f>
        <v>1393</v>
      </c>
      <c r="L35" s="2">
        <f t="shared" ref="L35:O35" si="2">SUM(G28:G35)</f>
        <v>386</v>
      </c>
      <c r="M35" s="2">
        <f t="shared" si="2"/>
        <v>33</v>
      </c>
      <c r="N35" s="2">
        <f t="shared" si="2"/>
        <v>58</v>
      </c>
      <c r="O35" s="2">
        <f t="shared" si="2"/>
        <v>6</v>
      </c>
    </row>
    <row r="36" spans="1:15" x14ac:dyDescent="0.35">
      <c r="A36" s="94" t="s">
        <v>637</v>
      </c>
      <c r="B36" s="94" t="s">
        <v>638</v>
      </c>
      <c r="C36" s="114">
        <v>8509</v>
      </c>
      <c r="D36" s="34" t="s">
        <v>164</v>
      </c>
      <c r="E36" s="36" t="s">
        <v>0</v>
      </c>
      <c r="F36" s="39">
        <v>2</v>
      </c>
      <c r="G36" s="39">
        <v>3</v>
      </c>
      <c r="H36" s="40"/>
      <c r="I36" s="39">
        <v>6</v>
      </c>
      <c r="J36" s="39">
        <v>5</v>
      </c>
    </row>
    <row r="37" spans="1:15" x14ac:dyDescent="0.35">
      <c r="A37" s="75"/>
      <c r="B37" s="75"/>
      <c r="C37" s="131"/>
      <c r="D37" s="34" t="s">
        <v>164</v>
      </c>
      <c r="E37" s="36" t="s">
        <v>17</v>
      </c>
      <c r="F37" s="39">
        <v>173</v>
      </c>
      <c r="G37" s="39">
        <v>28</v>
      </c>
      <c r="H37" s="39">
        <v>9</v>
      </c>
      <c r="I37" s="39">
        <v>1</v>
      </c>
      <c r="J37" s="40"/>
    </row>
    <row r="38" spans="1:15" x14ac:dyDescent="0.35">
      <c r="A38" s="75"/>
      <c r="B38" s="75"/>
      <c r="C38" s="131"/>
      <c r="D38" s="34" t="s">
        <v>164</v>
      </c>
      <c r="E38" s="36" t="s">
        <v>2</v>
      </c>
      <c r="F38" s="39">
        <v>409</v>
      </c>
      <c r="G38" s="39">
        <v>27</v>
      </c>
      <c r="H38" s="39">
        <v>10</v>
      </c>
      <c r="I38" s="39">
        <v>9</v>
      </c>
      <c r="J38" s="40"/>
    </row>
    <row r="39" spans="1:15" x14ac:dyDescent="0.35">
      <c r="A39" s="75"/>
      <c r="B39" s="75"/>
      <c r="C39" s="131"/>
      <c r="D39" s="34" t="s">
        <v>164</v>
      </c>
      <c r="E39" s="36" t="s">
        <v>3</v>
      </c>
      <c r="F39" s="39">
        <v>477</v>
      </c>
      <c r="G39" s="39">
        <v>68</v>
      </c>
      <c r="H39" s="40"/>
      <c r="I39" s="39">
        <v>19</v>
      </c>
      <c r="J39" s="39">
        <v>1</v>
      </c>
    </row>
    <row r="40" spans="1:15" x14ac:dyDescent="0.35">
      <c r="A40" s="75"/>
      <c r="B40" s="75"/>
      <c r="C40" s="131"/>
      <c r="D40" s="34" t="s">
        <v>164</v>
      </c>
      <c r="E40" s="36" t="s">
        <v>4</v>
      </c>
      <c r="F40" s="39">
        <v>833</v>
      </c>
      <c r="G40" s="39">
        <v>76</v>
      </c>
      <c r="H40" s="39">
        <v>10</v>
      </c>
      <c r="I40" s="39">
        <v>25</v>
      </c>
      <c r="J40" s="40"/>
    </row>
    <row r="41" spans="1:15" x14ac:dyDescent="0.35">
      <c r="A41" s="75"/>
      <c r="B41" s="75"/>
      <c r="C41" s="131"/>
      <c r="D41" s="34" t="s">
        <v>164</v>
      </c>
      <c r="E41" s="36" t="s">
        <v>5</v>
      </c>
      <c r="F41" s="39">
        <v>351</v>
      </c>
      <c r="G41" s="39">
        <v>59</v>
      </c>
      <c r="H41" s="39">
        <v>4</v>
      </c>
      <c r="I41" s="39">
        <v>6</v>
      </c>
      <c r="J41" s="40"/>
    </row>
    <row r="42" spans="1:15" x14ac:dyDescent="0.35">
      <c r="A42" s="75"/>
      <c r="B42" s="75"/>
      <c r="C42" s="131"/>
      <c r="D42" s="34" t="s">
        <v>164</v>
      </c>
      <c r="E42" s="36" t="s">
        <v>6</v>
      </c>
      <c r="F42" s="39">
        <v>143</v>
      </c>
      <c r="G42" s="39">
        <v>10</v>
      </c>
      <c r="H42" s="40"/>
      <c r="I42" s="39">
        <v>3</v>
      </c>
      <c r="J42" s="40"/>
    </row>
    <row r="43" spans="1:15" x14ac:dyDescent="0.35">
      <c r="A43" s="75"/>
      <c r="B43" s="75"/>
      <c r="C43" s="131"/>
      <c r="D43" s="34" t="s">
        <v>164</v>
      </c>
      <c r="E43" s="36" t="s">
        <v>7</v>
      </c>
      <c r="F43" s="39">
        <v>661</v>
      </c>
      <c r="G43" s="39">
        <v>233</v>
      </c>
      <c r="H43" s="39">
        <v>16</v>
      </c>
      <c r="I43" s="39">
        <v>21</v>
      </c>
      <c r="J43" s="39">
        <v>1</v>
      </c>
    </row>
    <row r="44" spans="1:15" x14ac:dyDescent="0.35">
      <c r="A44" s="75"/>
      <c r="B44" s="75"/>
      <c r="C44" s="131"/>
      <c r="D44" s="34" t="s">
        <v>164</v>
      </c>
      <c r="E44" s="36" t="s">
        <v>15</v>
      </c>
      <c r="F44" s="39">
        <v>7</v>
      </c>
      <c r="G44" s="39">
        <v>4</v>
      </c>
      <c r="H44" s="40"/>
      <c r="I44" s="40"/>
      <c r="J44" s="40"/>
      <c r="K44" s="2">
        <f>SUM(F36:F44)</f>
        <v>3056</v>
      </c>
      <c r="L44" s="2">
        <f t="shared" ref="L44:O44" si="3">SUM(G36:G44)</f>
        <v>508</v>
      </c>
      <c r="M44" s="2">
        <f t="shared" si="3"/>
        <v>49</v>
      </c>
      <c r="N44" s="2">
        <f t="shared" si="3"/>
        <v>90</v>
      </c>
      <c r="O44" s="2">
        <f t="shared" si="3"/>
        <v>7</v>
      </c>
    </row>
    <row r="45" spans="1:15" x14ac:dyDescent="0.35">
      <c r="A45" s="93" t="s">
        <v>643</v>
      </c>
      <c r="B45" s="93" t="s">
        <v>644</v>
      </c>
      <c r="C45" s="104">
        <v>458</v>
      </c>
      <c r="D45" s="34" t="s">
        <v>165</v>
      </c>
      <c r="E45" s="36" t="s">
        <v>17</v>
      </c>
      <c r="F45" s="37">
        <v>472</v>
      </c>
      <c r="G45" s="37">
        <v>42</v>
      </c>
      <c r="H45" s="37">
        <v>3</v>
      </c>
      <c r="I45" s="37">
        <v>9</v>
      </c>
      <c r="J45" s="38"/>
    </row>
    <row r="46" spans="1:15" x14ac:dyDescent="0.35">
      <c r="A46" s="93" t="s">
        <v>645</v>
      </c>
      <c r="B46" s="93" t="s">
        <v>646</v>
      </c>
      <c r="C46" s="104">
        <v>2155</v>
      </c>
      <c r="D46" s="34" t="s">
        <v>165</v>
      </c>
      <c r="E46" s="36" t="s">
        <v>2</v>
      </c>
      <c r="F46" s="37">
        <v>65</v>
      </c>
      <c r="G46" s="37">
        <v>11</v>
      </c>
      <c r="H46" s="37">
        <v>3</v>
      </c>
      <c r="I46" s="37">
        <v>1</v>
      </c>
      <c r="J46" s="37">
        <v>1</v>
      </c>
    </row>
    <row r="47" spans="1:15" x14ac:dyDescent="0.35">
      <c r="A47" s="61"/>
      <c r="B47" s="61"/>
      <c r="C47" s="105"/>
      <c r="D47" s="34" t="s">
        <v>165</v>
      </c>
      <c r="E47" s="36" t="s">
        <v>3</v>
      </c>
      <c r="F47" s="37">
        <v>79</v>
      </c>
      <c r="G47" s="37">
        <v>15</v>
      </c>
      <c r="H47" s="37">
        <v>3</v>
      </c>
      <c r="I47" s="37">
        <v>3</v>
      </c>
      <c r="J47" s="38"/>
    </row>
    <row r="48" spans="1:15" x14ac:dyDescent="0.35">
      <c r="A48" s="61"/>
      <c r="B48" s="61"/>
      <c r="C48" s="105"/>
      <c r="D48" s="34" t="s">
        <v>165</v>
      </c>
      <c r="E48" s="36" t="s">
        <v>4</v>
      </c>
      <c r="F48" s="37">
        <v>126</v>
      </c>
      <c r="G48" s="37">
        <v>8</v>
      </c>
      <c r="H48" s="37">
        <v>2</v>
      </c>
      <c r="I48" s="38"/>
      <c r="J48" s="38"/>
    </row>
    <row r="49" spans="1:15" x14ac:dyDescent="0.35">
      <c r="A49" s="61"/>
      <c r="B49" s="61"/>
      <c r="C49" s="105"/>
      <c r="D49" s="34" t="s">
        <v>165</v>
      </c>
      <c r="E49" s="36" t="s">
        <v>5</v>
      </c>
      <c r="F49" s="37">
        <v>95</v>
      </c>
      <c r="G49" s="37">
        <v>9</v>
      </c>
      <c r="H49" s="37">
        <v>1</v>
      </c>
      <c r="I49" s="37">
        <v>5</v>
      </c>
      <c r="J49" s="38"/>
    </row>
    <row r="50" spans="1:15" x14ac:dyDescent="0.35">
      <c r="A50" s="61"/>
      <c r="B50" s="61"/>
      <c r="C50" s="105"/>
      <c r="D50" s="34" t="s">
        <v>165</v>
      </c>
      <c r="E50" s="36" t="s">
        <v>6</v>
      </c>
      <c r="F50" s="37">
        <v>220</v>
      </c>
      <c r="G50" s="37">
        <v>19</v>
      </c>
      <c r="H50" s="37">
        <v>4</v>
      </c>
      <c r="I50" s="37">
        <v>1</v>
      </c>
      <c r="J50" s="38"/>
    </row>
    <row r="51" spans="1:15" x14ac:dyDescent="0.35">
      <c r="A51" s="61"/>
      <c r="B51" s="61"/>
      <c r="C51" s="105"/>
      <c r="D51" s="34" t="s">
        <v>165</v>
      </c>
      <c r="E51" s="36" t="s">
        <v>7</v>
      </c>
      <c r="F51" s="37">
        <v>397</v>
      </c>
      <c r="G51" s="37">
        <v>34</v>
      </c>
      <c r="H51" s="37">
        <v>6</v>
      </c>
      <c r="I51" s="37">
        <v>4</v>
      </c>
      <c r="J51" s="38"/>
      <c r="K51" s="2">
        <f>SUM(F45:F51)</f>
        <v>1454</v>
      </c>
      <c r="L51" s="2">
        <f t="shared" ref="L51:O51" si="4">SUM(G45:G51)</f>
        <v>138</v>
      </c>
      <c r="M51" s="2">
        <f t="shared" si="4"/>
        <v>22</v>
      </c>
      <c r="N51" s="2">
        <f t="shared" si="4"/>
        <v>23</v>
      </c>
      <c r="O51" s="2">
        <f t="shared" si="4"/>
        <v>1</v>
      </c>
    </row>
    <row r="52" spans="1:15" x14ac:dyDescent="0.35">
      <c r="A52" s="94" t="s">
        <v>549</v>
      </c>
      <c r="B52" s="94" t="s">
        <v>550</v>
      </c>
      <c r="C52" s="114">
        <v>4843</v>
      </c>
      <c r="D52" s="34" t="s">
        <v>166</v>
      </c>
      <c r="E52" s="36" t="s">
        <v>17</v>
      </c>
      <c r="F52" s="39">
        <v>224</v>
      </c>
      <c r="G52" s="39">
        <v>41</v>
      </c>
      <c r="H52" s="39">
        <v>13</v>
      </c>
      <c r="I52" s="39">
        <v>7</v>
      </c>
      <c r="J52" s="40"/>
    </row>
    <row r="53" spans="1:15" x14ac:dyDescent="0.35">
      <c r="A53" s="75"/>
      <c r="B53" s="75"/>
      <c r="C53" s="131"/>
      <c r="D53" s="34" t="s">
        <v>166</v>
      </c>
      <c r="E53" s="36" t="s">
        <v>2</v>
      </c>
      <c r="F53" s="39">
        <v>164</v>
      </c>
      <c r="G53" s="39">
        <v>23</v>
      </c>
      <c r="H53" s="40"/>
      <c r="I53" s="39">
        <v>1</v>
      </c>
      <c r="J53" s="40"/>
    </row>
    <row r="54" spans="1:15" x14ac:dyDescent="0.35">
      <c r="A54" s="75"/>
      <c r="B54" s="75"/>
      <c r="C54" s="131"/>
      <c r="D54" s="34" t="s">
        <v>166</v>
      </c>
      <c r="E54" s="36" t="s">
        <v>3</v>
      </c>
      <c r="F54" s="39">
        <v>159</v>
      </c>
      <c r="G54" s="39">
        <v>9</v>
      </c>
      <c r="H54" s="40"/>
      <c r="I54" s="39">
        <v>1</v>
      </c>
      <c r="J54" s="40"/>
    </row>
    <row r="55" spans="1:15" x14ac:dyDescent="0.35">
      <c r="A55" s="75"/>
      <c r="B55" s="75"/>
      <c r="C55" s="131"/>
      <c r="D55" s="34" t="s">
        <v>166</v>
      </c>
      <c r="E55" s="36" t="s">
        <v>4</v>
      </c>
      <c r="F55" s="39">
        <v>1467</v>
      </c>
      <c r="G55" s="39">
        <v>238</v>
      </c>
      <c r="H55" s="39">
        <v>20</v>
      </c>
      <c r="I55" s="39">
        <v>66</v>
      </c>
      <c r="J55" s="39">
        <v>2</v>
      </c>
    </row>
    <row r="56" spans="1:15" x14ac:dyDescent="0.35">
      <c r="A56" s="75"/>
      <c r="B56" s="75"/>
      <c r="C56" s="131"/>
      <c r="D56" s="34" t="s">
        <v>166</v>
      </c>
      <c r="E56" s="36" t="s">
        <v>5</v>
      </c>
      <c r="F56" s="39">
        <v>1642</v>
      </c>
      <c r="G56" s="39">
        <v>291</v>
      </c>
      <c r="H56" s="39">
        <v>18</v>
      </c>
      <c r="I56" s="39">
        <v>76</v>
      </c>
      <c r="J56" s="39">
        <v>1</v>
      </c>
      <c r="K56" s="2">
        <f>SUM(F52:F56)</f>
        <v>3656</v>
      </c>
      <c r="L56" s="2">
        <f t="shared" ref="L56:O56" si="5">SUM(G52:G56)</f>
        <v>602</v>
      </c>
      <c r="M56" s="2">
        <f t="shared" si="5"/>
        <v>51</v>
      </c>
      <c r="N56" s="2">
        <f t="shared" si="5"/>
        <v>151</v>
      </c>
      <c r="O56" s="2">
        <f t="shared" si="5"/>
        <v>3</v>
      </c>
    </row>
    <row r="57" spans="1:15" x14ac:dyDescent="0.35">
      <c r="A57" s="93" t="s">
        <v>647</v>
      </c>
      <c r="B57" s="93" t="s">
        <v>648</v>
      </c>
      <c r="C57" s="104">
        <v>2370</v>
      </c>
      <c r="D57" s="34" t="s">
        <v>167</v>
      </c>
      <c r="E57" s="36" t="s">
        <v>17</v>
      </c>
      <c r="F57" s="37">
        <v>229</v>
      </c>
      <c r="G57" s="37">
        <v>29</v>
      </c>
      <c r="H57" s="38"/>
      <c r="I57" s="37">
        <v>6</v>
      </c>
      <c r="J57" s="37">
        <v>1</v>
      </c>
    </row>
    <row r="58" spans="1:15" x14ac:dyDescent="0.35">
      <c r="A58" s="61"/>
      <c r="B58" s="61"/>
      <c r="C58" s="105"/>
      <c r="D58" s="34" t="s">
        <v>167</v>
      </c>
      <c r="E58" s="36" t="s">
        <v>2</v>
      </c>
      <c r="F58" s="37">
        <v>215</v>
      </c>
      <c r="G58" s="37">
        <v>8</v>
      </c>
      <c r="H58" s="37">
        <v>2</v>
      </c>
      <c r="I58" s="37">
        <v>3</v>
      </c>
      <c r="J58" s="38"/>
    </row>
    <row r="59" spans="1:15" x14ac:dyDescent="0.35">
      <c r="A59" s="61"/>
      <c r="B59" s="61"/>
      <c r="C59" s="105"/>
      <c r="D59" s="34" t="s">
        <v>167</v>
      </c>
      <c r="E59" s="36" t="s">
        <v>3</v>
      </c>
      <c r="F59" s="37">
        <v>237</v>
      </c>
      <c r="G59" s="37">
        <v>31</v>
      </c>
      <c r="H59" s="37">
        <v>15</v>
      </c>
      <c r="I59" s="37">
        <v>9</v>
      </c>
      <c r="J59" s="37">
        <v>1</v>
      </c>
    </row>
    <row r="60" spans="1:15" x14ac:dyDescent="0.35">
      <c r="A60" s="61"/>
      <c r="B60" s="61"/>
      <c r="C60" s="105"/>
      <c r="D60" s="34" t="s">
        <v>167</v>
      </c>
      <c r="E60" s="36" t="s">
        <v>4</v>
      </c>
      <c r="F60" s="37">
        <v>104</v>
      </c>
      <c r="G60" s="37">
        <v>7</v>
      </c>
      <c r="H60" s="37">
        <v>8</v>
      </c>
      <c r="I60" s="38"/>
      <c r="J60" s="38"/>
    </row>
    <row r="61" spans="1:15" x14ac:dyDescent="0.35">
      <c r="A61" s="61"/>
      <c r="B61" s="61"/>
      <c r="C61" s="105"/>
      <c r="D61" s="34" t="s">
        <v>167</v>
      </c>
      <c r="E61" s="36" t="s">
        <v>5</v>
      </c>
      <c r="F61" s="37">
        <v>154</v>
      </c>
      <c r="G61" s="37">
        <v>18</v>
      </c>
      <c r="H61" s="37">
        <v>1</v>
      </c>
      <c r="I61" s="37">
        <v>4</v>
      </c>
      <c r="J61" s="38"/>
      <c r="K61" s="2">
        <f>SUM(F57:F61)</f>
        <v>939</v>
      </c>
      <c r="L61" s="2">
        <f t="shared" ref="L61:O61" si="6">SUM(G57:G61)</f>
        <v>93</v>
      </c>
      <c r="M61" s="2">
        <f t="shared" si="6"/>
        <v>26</v>
      </c>
      <c r="N61" s="2">
        <f t="shared" si="6"/>
        <v>22</v>
      </c>
      <c r="O61" s="2">
        <f t="shared" si="6"/>
        <v>2</v>
      </c>
    </row>
    <row r="62" spans="1:15" x14ac:dyDescent="0.35">
      <c r="A62" s="94" t="s">
        <v>649</v>
      </c>
      <c r="B62" s="94" t="s">
        <v>650</v>
      </c>
      <c r="C62" s="114">
        <v>2177</v>
      </c>
      <c r="D62" s="34" t="s">
        <v>168</v>
      </c>
      <c r="E62" s="36" t="s">
        <v>17</v>
      </c>
      <c r="F62" s="39">
        <v>334</v>
      </c>
      <c r="G62" s="39">
        <v>90</v>
      </c>
      <c r="H62" s="39">
        <v>11</v>
      </c>
      <c r="I62" s="39">
        <v>8</v>
      </c>
      <c r="J62" s="40"/>
    </row>
    <row r="63" spans="1:15" x14ac:dyDescent="0.35">
      <c r="A63" s="75"/>
      <c r="B63" s="75"/>
      <c r="C63" s="131"/>
      <c r="D63" s="34" t="s">
        <v>168</v>
      </c>
      <c r="E63" s="36" t="s">
        <v>2</v>
      </c>
      <c r="F63" s="39">
        <v>227</v>
      </c>
      <c r="G63" s="39">
        <v>28</v>
      </c>
      <c r="H63" s="39">
        <v>3</v>
      </c>
      <c r="I63" s="39">
        <v>4</v>
      </c>
      <c r="J63" s="40"/>
    </row>
    <row r="64" spans="1:15" x14ac:dyDescent="0.35">
      <c r="A64" s="75"/>
      <c r="B64" s="75"/>
      <c r="C64" s="131"/>
      <c r="D64" s="34" t="s">
        <v>168</v>
      </c>
      <c r="E64" s="36" t="s">
        <v>3</v>
      </c>
      <c r="F64" s="39">
        <v>311</v>
      </c>
      <c r="G64" s="39">
        <v>26</v>
      </c>
      <c r="H64" s="39">
        <v>17</v>
      </c>
      <c r="I64" s="39">
        <v>13</v>
      </c>
      <c r="J64" s="40"/>
    </row>
    <row r="65" spans="1:15" x14ac:dyDescent="0.35">
      <c r="A65" s="75"/>
      <c r="B65" s="75"/>
      <c r="C65" s="131"/>
      <c r="D65" s="34" t="s">
        <v>168</v>
      </c>
      <c r="E65" s="36" t="s">
        <v>4</v>
      </c>
      <c r="F65" s="39">
        <v>52</v>
      </c>
      <c r="G65" s="39">
        <v>8</v>
      </c>
      <c r="H65" s="40"/>
      <c r="I65" s="39">
        <v>1</v>
      </c>
      <c r="J65" s="40"/>
    </row>
    <row r="66" spans="1:15" x14ac:dyDescent="0.35">
      <c r="A66" s="75"/>
      <c r="B66" s="75"/>
      <c r="C66" s="131"/>
      <c r="D66" s="34" t="s">
        <v>168</v>
      </c>
      <c r="E66" s="36" t="s">
        <v>5</v>
      </c>
      <c r="F66" s="39">
        <v>194</v>
      </c>
      <c r="G66" s="39">
        <v>11</v>
      </c>
      <c r="H66" s="39">
        <v>4</v>
      </c>
      <c r="I66" s="39">
        <v>6</v>
      </c>
      <c r="J66" s="40"/>
      <c r="K66" s="2">
        <f>SUM(F62:F66)</f>
        <v>1118</v>
      </c>
      <c r="L66" s="2">
        <f t="shared" ref="L66:O66" si="7">SUM(G62:G66)</f>
        <v>163</v>
      </c>
      <c r="M66" s="2">
        <f t="shared" si="7"/>
        <v>35</v>
      </c>
      <c r="N66" s="2">
        <f t="shared" si="7"/>
        <v>32</v>
      </c>
      <c r="O66" s="2">
        <f t="shared" si="7"/>
        <v>0</v>
      </c>
    </row>
    <row r="67" spans="1:15" x14ac:dyDescent="0.35">
      <c r="A67" s="93" t="s">
        <v>651</v>
      </c>
      <c r="B67" s="93" t="s">
        <v>652</v>
      </c>
      <c r="C67" s="104">
        <v>1434</v>
      </c>
      <c r="D67" s="34" t="s">
        <v>169</v>
      </c>
      <c r="E67" s="36" t="s">
        <v>17</v>
      </c>
      <c r="F67" s="37">
        <v>201</v>
      </c>
      <c r="G67" s="37">
        <v>16</v>
      </c>
      <c r="H67" s="37">
        <v>3</v>
      </c>
      <c r="I67" s="37">
        <v>5</v>
      </c>
      <c r="J67" s="38"/>
    </row>
    <row r="68" spans="1:15" x14ac:dyDescent="0.35">
      <c r="A68" s="61"/>
      <c r="B68" s="61"/>
      <c r="C68" s="105"/>
      <c r="D68" s="34" t="s">
        <v>169</v>
      </c>
      <c r="E68" s="36" t="s">
        <v>2</v>
      </c>
      <c r="F68" s="37">
        <v>210</v>
      </c>
      <c r="G68" s="37">
        <v>31</v>
      </c>
      <c r="H68" s="37">
        <v>5</v>
      </c>
      <c r="I68" s="37">
        <v>7</v>
      </c>
      <c r="J68" s="38"/>
    </row>
    <row r="69" spans="1:15" x14ac:dyDescent="0.35">
      <c r="A69" s="61"/>
      <c r="B69" s="61"/>
      <c r="C69" s="105"/>
      <c r="D69" s="34" t="s">
        <v>169</v>
      </c>
      <c r="E69" s="36" t="s">
        <v>3</v>
      </c>
      <c r="F69" s="37">
        <v>134</v>
      </c>
      <c r="G69" s="37">
        <v>9</v>
      </c>
      <c r="H69" s="37">
        <v>2</v>
      </c>
      <c r="I69" s="37">
        <v>3</v>
      </c>
      <c r="J69" s="38"/>
    </row>
    <row r="70" spans="1:15" x14ac:dyDescent="0.35">
      <c r="A70" s="61"/>
      <c r="B70" s="61"/>
      <c r="C70" s="105"/>
      <c r="D70" s="34" t="s">
        <v>169</v>
      </c>
      <c r="E70" s="36" t="s">
        <v>4</v>
      </c>
      <c r="F70" s="37">
        <v>160</v>
      </c>
      <c r="G70" s="37">
        <v>16</v>
      </c>
      <c r="H70" s="37">
        <v>2</v>
      </c>
      <c r="I70" s="37">
        <v>5</v>
      </c>
      <c r="J70" s="38"/>
      <c r="K70" s="2">
        <f>SUM(F67:F70)</f>
        <v>705</v>
      </c>
      <c r="L70" s="2">
        <f t="shared" ref="L70:O70" si="8">SUM(G67:G70)</f>
        <v>72</v>
      </c>
      <c r="M70" s="2">
        <f t="shared" si="8"/>
        <v>12</v>
      </c>
      <c r="N70" s="2">
        <f t="shared" si="8"/>
        <v>20</v>
      </c>
      <c r="O70" s="2">
        <f t="shared" si="8"/>
        <v>0</v>
      </c>
    </row>
    <row r="71" spans="1:15" x14ac:dyDescent="0.35">
      <c r="A71" s="94" t="s">
        <v>653</v>
      </c>
      <c r="B71" s="94" t="s">
        <v>654</v>
      </c>
      <c r="C71" s="114">
        <v>4076</v>
      </c>
      <c r="D71" s="34" t="s">
        <v>170</v>
      </c>
      <c r="E71" s="36" t="s">
        <v>17</v>
      </c>
      <c r="F71" s="39">
        <v>643</v>
      </c>
      <c r="G71" s="39">
        <v>113</v>
      </c>
      <c r="H71" s="39">
        <v>13</v>
      </c>
      <c r="I71" s="39">
        <v>20</v>
      </c>
      <c r="J71" s="39">
        <v>1</v>
      </c>
    </row>
    <row r="72" spans="1:15" x14ac:dyDescent="0.35">
      <c r="A72" s="75"/>
      <c r="B72" s="75"/>
      <c r="C72" s="131"/>
      <c r="D72" s="34" t="s">
        <v>170</v>
      </c>
      <c r="E72" s="36" t="s">
        <v>2</v>
      </c>
      <c r="F72" s="39">
        <v>304</v>
      </c>
      <c r="G72" s="39">
        <v>23</v>
      </c>
      <c r="H72" s="39">
        <v>1</v>
      </c>
      <c r="I72" s="39">
        <v>8</v>
      </c>
      <c r="J72" s="40"/>
    </row>
    <row r="73" spans="1:15" x14ac:dyDescent="0.35">
      <c r="A73" s="75"/>
      <c r="B73" s="75"/>
      <c r="C73" s="131"/>
      <c r="D73" s="34" t="s">
        <v>170</v>
      </c>
      <c r="E73" s="36" t="s">
        <v>3</v>
      </c>
      <c r="F73" s="39">
        <v>344</v>
      </c>
      <c r="G73" s="39">
        <v>26</v>
      </c>
      <c r="H73" s="39">
        <v>5</v>
      </c>
      <c r="I73" s="39">
        <v>3</v>
      </c>
      <c r="J73" s="39">
        <v>1</v>
      </c>
    </row>
    <row r="74" spans="1:15" x14ac:dyDescent="0.35">
      <c r="A74" s="75"/>
      <c r="B74" s="75"/>
      <c r="C74" s="131"/>
      <c r="D74" s="34" t="s">
        <v>170</v>
      </c>
      <c r="E74" s="36" t="s">
        <v>4</v>
      </c>
      <c r="F74" s="39">
        <v>220</v>
      </c>
      <c r="G74" s="39">
        <v>15</v>
      </c>
      <c r="H74" s="39">
        <v>2</v>
      </c>
      <c r="I74" s="39">
        <v>5</v>
      </c>
      <c r="J74" s="40"/>
      <c r="K74" s="2">
        <f>SUM(F71:F74)</f>
        <v>1511</v>
      </c>
      <c r="L74" s="2">
        <f t="shared" ref="L74:O74" si="9">SUM(G71:G74)</f>
        <v>177</v>
      </c>
      <c r="M74" s="2">
        <f t="shared" si="9"/>
        <v>21</v>
      </c>
      <c r="N74" s="2">
        <f t="shared" si="9"/>
        <v>36</v>
      </c>
      <c r="O74" s="2">
        <f t="shared" si="9"/>
        <v>2</v>
      </c>
    </row>
    <row r="75" spans="1:15" x14ac:dyDescent="0.35">
      <c r="A75" s="76"/>
      <c r="B75" s="76" t="s">
        <v>723</v>
      </c>
      <c r="C75" s="130">
        <f>SUM(C5:C71)</f>
        <v>41055</v>
      </c>
      <c r="D75" s="321" t="s">
        <v>231</v>
      </c>
      <c r="E75" s="321"/>
      <c r="F75" s="41">
        <f>SUM(F5:F74)</f>
        <v>19853</v>
      </c>
      <c r="G75" s="41">
        <f>SUM(G5:G74)</f>
        <v>3228</v>
      </c>
      <c r="H75" s="41">
        <f>SUM(H5:H74)</f>
        <v>353</v>
      </c>
      <c r="I75" s="41">
        <f>SUM(I5:I74)</f>
        <v>626</v>
      </c>
      <c r="J75" s="41">
        <f>SUM(J5:J74)</f>
        <v>24</v>
      </c>
    </row>
    <row r="76" spans="1:15" x14ac:dyDescent="0.35">
      <c r="A76" s="320" t="s">
        <v>743</v>
      </c>
      <c r="B76" s="320"/>
      <c r="C76" s="130">
        <f>SUM(C75,F75,G75,H75,I75,J75)</f>
        <v>65139</v>
      </c>
    </row>
  </sheetData>
  <mergeCells count="7">
    <mergeCell ref="A76:B76"/>
    <mergeCell ref="D75:E75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2"/>
  <sheetViews>
    <sheetView topLeftCell="A37" zoomScale="90" zoomScaleNormal="90" workbookViewId="0">
      <selection activeCell="C22" sqref="C22"/>
    </sheetView>
  </sheetViews>
  <sheetFormatPr defaultRowHeight="21" x14ac:dyDescent="0.35"/>
  <cols>
    <col min="1" max="1" width="14.140625" style="2" customWidth="1"/>
    <col min="2" max="2" width="19" style="2" customWidth="1"/>
    <col min="3" max="3" width="18.5703125" style="95" customWidth="1"/>
    <col min="4" max="4" width="12.7109375" style="2" customWidth="1"/>
    <col min="5" max="5" width="9.140625" style="22"/>
    <col min="6" max="6" width="13.7109375" style="22" customWidth="1"/>
    <col min="7" max="7" width="14.42578125" style="22" customWidth="1"/>
    <col min="8" max="8" width="10.7109375" style="22" customWidth="1"/>
    <col min="9" max="9" width="19" style="22" customWidth="1"/>
    <col min="10" max="10" width="15.140625" style="22" customWidth="1"/>
    <col min="11" max="16384" width="9.140625" style="2"/>
  </cols>
  <sheetData>
    <row r="1" spans="1:15" x14ac:dyDescent="0.35">
      <c r="A1" s="302" t="s">
        <v>744</v>
      </c>
      <c r="B1" s="302"/>
      <c r="C1" s="302"/>
      <c r="D1" s="317" t="s">
        <v>237</v>
      </c>
      <c r="E1" s="318"/>
      <c r="F1" s="318"/>
      <c r="G1" s="318"/>
      <c r="H1" s="318"/>
      <c r="I1" s="318"/>
      <c r="J1" s="318"/>
    </row>
    <row r="2" spans="1:15" x14ac:dyDescent="0.35">
      <c r="A2" s="302" t="s">
        <v>720</v>
      </c>
      <c r="B2" s="302"/>
      <c r="C2" s="302"/>
      <c r="D2" s="317" t="s">
        <v>230</v>
      </c>
      <c r="E2" s="317"/>
      <c r="F2" s="317"/>
      <c r="G2" s="317"/>
      <c r="H2" s="317"/>
      <c r="I2" s="317"/>
      <c r="J2" s="317"/>
    </row>
    <row r="3" spans="1:15" x14ac:dyDescent="0.35">
      <c r="A3" s="91"/>
      <c r="B3" s="91"/>
      <c r="C3" s="110"/>
      <c r="D3" s="42"/>
      <c r="E3" s="42"/>
      <c r="F3" s="325" t="s">
        <v>718</v>
      </c>
      <c r="G3" s="325"/>
      <c r="H3" s="325"/>
      <c r="I3" s="325"/>
      <c r="J3" s="325"/>
    </row>
    <row r="4" spans="1:15" x14ac:dyDescent="0.35">
      <c r="A4" s="118" t="s">
        <v>716</v>
      </c>
      <c r="B4" s="118" t="s">
        <v>256</v>
      </c>
      <c r="C4" s="119" t="s">
        <v>717</v>
      </c>
      <c r="D4" s="28" t="s">
        <v>223</v>
      </c>
      <c r="E4" s="29" t="s">
        <v>222</v>
      </c>
      <c r="F4" s="29" t="s">
        <v>218</v>
      </c>
      <c r="G4" s="29" t="s">
        <v>219</v>
      </c>
      <c r="H4" s="29" t="s">
        <v>220</v>
      </c>
      <c r="I4" s="29" t="s">
        <v>226</v>
      </c>
      <c r="J4" s="29" t="s">
        <v>221</v>
      </c>
    </row>
    <row r="5" spans="1:15" x14ac:dyDescent="0.35">
      <c r="A5" s="122" t="s">
        <v>392</v>
      </c>
      <c r="B5" s="122" t="s">
        <v>393</v>
      </c>
      <c r="C5" s="123">
        <v>1885</v>
      </c>
      <c r="D5" s="30" t="s">
        <v>172</v>
      </c>
      <c r="E5" s="31" t="s">
        <v>17</v>
      </c>
      <c r="F5" s="21">
        <v>165</v>
      </c>
      <c r="G5" s="21">
        <v>38</v>
      </c>
      <c r="H5" s="21">
        <v>8</v>
      </c>
      <c r="I5" s="21">
        <v>8</v>
      </c>
      <c r="J5" s="26"/>
    </row>
    <row r="6" spans="1:15" x14ac:dyDescent="0.35">
      <c r="D6" s="30" t="s">
        <v>172</v>
      </c>
      <c r="E6" s="31" t="s">
        <v>2</v>
      </c>
      <c r="F6" s="21">
        <v>139</v>
      </c>
      <c r="G6" s="21">
        <v>50</v>
      </c>
      <c r="H6" s="21">
        <v>7</v>
      </c>
      <c r="I6" s="21">
        <v>2</v>
      </c>
      <c r="J6" s="26"/>
    </row>
    <row r="7" spans="1:15" x14ac:dyDescent="0.35">
      <c r="A7" s="124"/>
      <c r="B7" s="124"/>
      <c r="C7" s="125"/>
      <c r="D7" s="30" t="s">
        <v>172</v>
      </c>
      <c r="E7" s="31" t="s">
        <v>3</v>
      </c>
      <c r="F7" s="21">
        <v>103</v>
      </c>
      <c r="G7" s="21">
        <v>16</v>
      </c>
      <c r="H7" s="21">
        <v>3</v>
      </c>
      <c r="I7" s="26"/>
      <c r="J7" s="21">
        <v>1</v>
      </c>
    </row>
    <row r="8" spans="1:15" x14ac:dyDescent="0.35">
      <c r="A8" s="124"/>
      <c r="B8" s="124"/>
      <c r="C8" s="125"/>
      <c r="D8" s="30" t="s">
        <v>172</v>
      </c>
      <c r="E8" s="31" t="s">
        <v>4</v>
      </c>
      <c r="F8" s="21">
        <v>30</v>
      </c>
      <c r="G8" s="21">
        <v>16</v>
      </c>
      <c r="H8" s="21">
        <v>1</v>
      </c>
      <c r="I8" s="21">
        <v>4</v>
      </c>
      <c r="J8" s="26"/>
    </row>
    <row r="9" spans="1:15" x14ac:dyDescent="0.35">
      <c r="A9" s="124"/>
      <c r="B9" s="124"/>
      <c r="C9" s="125"/>
      <c r="D9" s="30" t="s">
        <v>172</v>
      </c>
      <c r="E9" s="31" t="s">
        <v>5</v>
      </c>
      <c r="F9" s="21">
        <v>84</v>
      </c>
      <c r="G9" s="21">
        <v>20</v>
      </c>
      <c r="H9" s="21">
        <v>11</v>
      </c>
      <c r="I9" s="21">
        <v>3</v>
      </c>
      <c r="J9" s="21">
        <v>1</v>
      </c>
    </row>
    <row r="10" spans="1:15" x14ac:dyDescent="0.35">
      <c r="A10" s="124"/>
      <c r="B10" s="124"/>
      <c r="C10" s="125"/>
      <c r="D10" s="30" t="s">
        <v>172</v>
      </c>
      <c r="E10" s="31" t="s">
        <v>6</v>
      </c>
      <c r="F10" s="21">
        <v>32</v>
      </c>
      <c r="G10" s="21">
        <v>18</v>
      </c>
      <c r="H10" s="21">
        <v>1</v>
      </c>
      <c r="I10" s="21">
        <v>3</v>
      </c>
      <c r="J10" s="26"/>
    </row>
    <row r="11" spans="1:15" x14ac:dyDescent="0.35">
      <c r="A11" s="124"/>
      <c r="B11" s="124"/>
      <c r="C11" s="125"/>
      <c r="D11" s="30" t="s">
        <v>172</v>
      </c>
      <c r="E11" s="31" t="s">
        <v>7</v>
      </c>
      <c r="F11" s="21">
        <v>119</v>
      </c>
      <c r="G11" s="21">
        <v>21</v>
      </c>
      <c r="H11" s="21">
        <v>5</v>
      </c>
      <c r="I11" s="21">
        <v>4</v>
      </c>
      <c r="J11" s="26"/>
    </row>
    <row r="12" spans="1:15" x14ac:dyDescent="0.35">
      <c r="A12" s="124"/>
      <c r="B12" s="124"/>
      <c r="C12" s="125"/>
      <c r="D12" s="30" t="s">
        <v>172</v>
      </c>
      <c r="E12" s="31" t="s">
        <v>8</v>
      </c>
      <c r="F12" s="21">
        <v>83</v>
      </c>
      <c r="G12" s="21">
        <v>9</v>
      </c>
      <c r="H12" s="21">
        <v>4</v>
      </c>
      <c r="I12" s="26"/>
      <c r="J12" s="26"/>
    </row>
    <row r="13" spans="1:15" x14ac:dyDescent="0.35">
      <c r="A13" s="124"/>
      <c r="B13" s="124"/>
      <c r="C13" s="125"/>
      <c r="D13" s="30" t="s">
        <v>172</v>
      </c>
      <c r="E13" s="31" t="s">
        <v>9</v>
      </c>
      <c r="F13" s="21">
        <v>73</v>
      </c>
      <c r="G13" s="21">
        <v>37</v>
      </c>
      <c r="H13" s="21">
        <v>3</v>
      </c>
      <c r="I13" s="21">
        <v>1</v>
      </c>
      <c r="J13" s="21">
        <v>2</v>
      </c>
      <c r="K13" s="2">
        <f>SUM(F5:F13)</f>
        <v>828</v>
      </c>
      <c r="L13" s="2">
        <f>SUM(G5:G13)</f>
        <v>225</v>
      </c>
      <c r="M13" s="2">
        <f>SUM(H5:H13)</f>
        <v>43</v>
      </c>
      <c r="N13" s="2">
        <f>SUM(I5:I13)</f>
        <v>25</v>
      </c>
      <c r="O13" s="2">
        <f>SUM(J5:J13)</f>
        <v>4</v>
      </c>
    </row>
    <row r="14" spans="1:15" x14ac:dyDescent="0.35">
      <c r="A14" s="101" t="s">
        <v>394</v>
      </c>
      <c r="B14" s="101" t="s">
        <v>395</v>
      </c>
      <c r="C14" s="102">
        <v>2624</v>
      </c>
      <c r="D14" s="30" t="s">
        <v>173</v>
      </c>
      <c r="E14" s="31" t="s">
        <v>17</v>
      </c>
      <c r="F14" s="25">
        <v>139</v>
      </c>
      <c r="G14" s="25">
        <v>73</v>
      </c>
      <c r="H14" s="25">
        <v>8</v>
      </c>
      <c r="I14" s="25">
        <v>4</v>
      </c>
      <c r="J14" s="27"/>
    </row>
    <row r="15" spans="1:15" x14ac:dyDescent="0.35">
      <c r="C15" s="2"/>
      <c r="D15" s="30" t="s">
        <v>173</v>
      </c>
      <c r="E15" s="31" t="s">
        <v>2</v>
      </c>
      <c r="F15" s="25">
        <v>80</v>
      </c>
      <c r="G15" s="25">
        <v>28</v>
      </c>
      <c r="H15" s="25">
        <v>11</v>
      </c>
      <c r="I15" s="25">
        <v>10</v>
      </c>
      <c r="J15" s="27"/>
    </row>
    <row r="16" spans="1:15" x14ac:dyDescent="0.35">
      <c r="A16" s="73"/>
      <c r="B16" s="73"/>
      <c r="C16" s="103"/>
      <c r="D16" s="30" t="s">
        <v>173</v>
      </c>
      <c r="E16" s="31" t="s">
        <v>3</v>
      </c>
      <c r="F16" s="25">
        <v>165</v>
      </c>
      <c r="G16" s="25">
        <v>71</v>
      </c>
      <c r="H16" s="25">
        <v>22</v>
      </c>
      <c r="I16" s="25">
        <v>8</v>
      </c>
      <c r="J16" s="27"/>
    </row>
    <row r="17" spans="1:15" x14ac:dyDescent="0.35">
      <c r="A17" s="73"/>
      <c r="B17" s="73"/>
      <c r="C17" s="103"/>
      <c r="D17" s="30" t="s">
        <v>173</v>
      </c>
      <c r="E17" s="31" t="s">
        <v>4</v>
      </c>
      <c r="F17" s="25">
        <v>74</v>
      </c>
      <c r="G17" s="25">
        <v>37</v>
      </c>
      <c r="H17" s="25">
        <v>11</v>
      </c>
      <c r="I17" s="25">
        <v>18</v>
      </c>
      <c r="J17" s="27"/>
    </row>
    <row r="18" spans="1:15" x14ac:dyDescent="0.35">
      <c r="A18" s="73"/>
      <c r="B18" s="73"/>
      <c r="C18" s="103"/>
      <c r="D18" s="30" t="s">
        <v>173</v>
      </c>
      <c r="E18" s="31" t="s">
        <v>5</v>
      </c>
      <c r="F18" s="25">
        <v>115</v>
      </c>
      <c r="G18" s="25">
        <v>58</v>
      </c>
      <c r="H18" s="25">
        <v>17</v>
      </c>
      <c r="I18" s="25">
        <v>2</v>
      </c>
      <c r="J18" s="27"/>
    </row>
    <row r="19" spans="1:15" x14ac:dyDescent="0.35">
      <c r="A19" s="73"/>
      <c r="B19" s="73"/>
      <c r="C19" s="103"/>
      <c r="D19" s="30" t="s">
        <v>173</v>
      </c>
      <c r="E19" s="31" t="s">
        <v>6</v>
      </c>
      <c r="F19" s="25">
        <v>49</v>
      </c>
      <c r="G19" s="25">
        <v>19</v>
      </c>
      <c r="H19" s="25">
        <v>11</v>
      </c>
      <c r="I19" s="25">
        <v>15</v>
      </c>
      <c r="J19" s="27"/>
    </row>
    <row r="20" spans="1:15" x14ac:dyDescent="0.35">
      <c r="A20" s="73"/>
      <c r="B20" s="73"/>
      <c r="C20" s="103"/>
      <c r="D20" s="30" t="s">
        <v>173</v>
      </c>
      <c r="E20" s="31" t="s">
        <v>7</v>
      </c>
      <c r="F20" s="25">
        <v>396</v>
      </c>
      <c r="G20" s="25">
        <v>89</v>
      </c>
      <c r="H20" s="25">
        <v>30</v>
      </c>
      <c r="I20" s="25">
        <v>2</v>
      </c>
      <c r="J20" s="25">
        <v>2</v>
      </c>
      <c r="K20" s="2">
        <f>SUM(F14:F20)</f>
        <v>1018</v>
      </c>
      <c r="L20" s="2">
        <f>SUM(G14:G21)</f>
        <v>471</v>
      </c>
      <c r="M20" s="2">
        <f>SUM(H14:H21)</f>
        <v>114</v>
      </c>
      <c r="N20" s="2">
        <f>SUM(I14:I21)</f>
        <v>67</v>
      </c>
      <c r="O20" s="2">
        <f>SUM(J14:J21)</f>
        <v>3</v>
      </c>
    </row>
    <row r="21" spans="1:15" x14ac:dyDescent="0.35">
      <c r="A21" s="101" t="s">
        <v>351</v>
      </c>
      <c r="B21" s="101" t="s">
        <v>352</v>
      </c>
      <c r="C21" s="102">
        <v>6035</v>
      </c>
      <c r="D21" s="30" t="s">
        <v>173</v>
      </c>
      <c r="E21" s="31" t="s">
        <v>15</v>
      </c>
      <c r="F21" s="25">
        <v>12</v>
      </c>
      <c r="G21" s="25">
        <v>96</v>
      </c>
      <c r="H21" s="25">
        <v>4</v>
      </c>
      <c r="I21" s="25">
        <v>8</v>
      </c>
      <c r="J21" s="25">
        <v>1</v>
      </c>
    </row>
    <row r="22" spans="1:15" x14ac:dyDescent="0.35">
      <c r="A22" s="101"/>
      <c r="B22" s="101"/>
      <c r="C22" s="102"/>
      <c r="D22" s="30" t="s">
        <v>171</v>
      </c>
      <c r="E22" s="31" t="s">
        <v>0</v>
      </c>
      <c r="F22" s="25">
        <v>875</v>
      </c>
      <c r="G22" s="25">
        <v>454</v>
      </c>
      <c r="H22" s="25">
        <v>121</v>
      </c>
      <c r="I22" s="25">
        <v>78</v>
      </c>
      <c r="J22" s="25">
        <v>2</v>
      </c>
      <c r="K22" s="2">
        <f>SUM(F21:F22)</f>
        <v>887</v>
      </c>
      <c r="L22" s="2">
        <f t="shared" ref="L22:O22" si="0">SUM(G21:G22)</f>
        <v>550</v>
      </c>
      <c r="M22" s="2">
        <f t="shared" si="0"/>
        <v>125</v>
      </c>
      <c r="N22" s="2">
        <f t="shared" si="0"/>
        <v>86</v>
      </c>
      <c r="O22" s="2">
        <f t="shared" si="0"/>
        <v>3</v>
      </c>
    </row>
    <row r="23" spans="1:15" x14ac:dyDescent="0.35">
      <c r="A23" s="122" t="s">
        <v>396</v>
      </c>
      <c r="B23" s="122" t="s">
        <v>397</v>
      </c>
      <c r="C23" s="123">
        <v>4297</v>
      </c>
      <c r="D23" s="30" t="s">
        <v>174</v>
      </c>
      <c r="E23" s="31" t="s">
        <v>17</v>
      </c>
      <c r="F23" s="21">
        <v>344</v>
      </c>
      <c r="G23" s="21">
        <v>60</v>
      </c>
      <c r="H23" s="21">
        <v>17</v>
      </c>
      <c r="I23" s="21">
        <v>22</v>
      </c>
      <c r="J23" s="21">
        <v>1</v>
      </c>
    </row>
    <row r="24" spans="1:15" x14ac:dyDescent="0.35">
      <c r="A24" s="124"/>
      <c r="B24" s="124"/>
      <c r="C24" s="125"/>
      <c r="D24" s="30" t="s">
        <v>174</v>
      </c>
      <c r="E24" s="31" t="s">
        <v>2</v>
      </c>
      <c r="F24" s="21">
        <v>331</v>
      </c>
      <c r="G24" s="21">
        <v>145</v>
      </c>
      <c r="H24" s="21">
        <v>38</v>
      </c>
      <c r="I24" s="21">
        <v>2</v>
      </c>
      <c r="J24" s="26"/>
    </row>
    <row r="25" spans="1:15" x14ac:dyDescent="0.35">
      <c r="A25" s="124"/>
      <c r="B25" s="124"/>
      <c r="C25" s="125"/>
      <c r="D25" s="30" t="s">
        <v>174</v>
      </c>
      <c r="E25" s="31" t="s">
        <v>3</v>
      </c>
      <c r="F25" s="21">
        <v>128</v>
      </c>
      <c r="G25" s="21">
        <v>37</v>
      </c>
      <c r="H25" s="21">
        <v>21</v>
      </c>
      <c r="I25" s="21">
        <v>3</v>
      </c>
      <c r="J25" s="21">
        <v>1</v>
      </c>
    </row>
    <row r="26" spans="1:15" x14ac:dyDescent="0.35">
      <c r="A26" s="124"/>
      <c r="B26" s="124"/>
      <c r="C26" s="125"/>
      <c r="D26" s="30" t="s">
        <v>174</v>
      </c>
      <c r="E26" s="31" t="s">
        <v>4</v>
      </c>
      <c r="F26" s="21">
        <v>91</v>
      </c>
      <c r="G26" s="21">
        <v>12</v>
      </c>
      <c r="H26" s="21">
        <v>12</v>
      </c>
      <c r="I26" s="21">
        <v>9</v>
      </c>
      <c r="J26" s="21">
        <v>1</v>
      </c>
    </row>
    <row r="27" spans="1:15" x14ac:dyDescent="0.35">
      <c r="A27" s="124"/>
      <c r="B27" s="124"/>
      <c r="C27" s="125"/>
      <c r="D27" s="30" t="s">
        <v>174</v>
      </c>
      <c r="E27" s="31" t="s">
        <v>5</v>
      </c>
      <c r="F27" s="21">
        <v>123</v>
      </c>
      <c r="G27" s="21">
        <v>16</v>
      </c>
      <c r="H27" s="21">
        <v>4</v>
      </c>
      <c r="I27" s="26"/>
      <c r="J27" s="26"/>
    </row>
    <row r="28" spans="1:15" x14ac:dyDescent="0.35">
      <c r="A28" s="124"/>
      <c r="B28" s="124"/>
      <c r="C28" s="125"/>
      <c r="D28" s="30" t="s">
        <v>174</v>
      </c>
      <c r="E28" s="31" t="s">
        <v>6</v>
      </c>
      <c r="F28" s="21">
        <v>51</v>
      </c>
      <c r="G28" s="21">
        <v>16</v>
      </c>
      <c r="H28" s="26"/>
      <c r="I28" s="21">
        <v>3</v>
      </c>
      <c r="J28" s="26"/>
    </row>
    <row r="29" spans="1:15" x14ac:dyDescent="0.35">
      <c r="A29" s="124"/>
      <c r="B29" s="124"/>
      <c r="C29" s="125"/>
      <c r="D29" s="30" t="s">
        <v>174</v>
      </c>
      <c r="E29" s="31" t="s">
        <v>7</v>
      </c>
      <c r="F29" s="21">
        <v>119</v>
      </c>
      <c r="G29" s="21">
        <v>16</v>
      </c>
      <c r="H29" s="26"/>
      <c r="I29" s="21">
        <v>13</v>
      </c>
      <c r="J29" s="26"/>
    </row>
    <row r="30" spans="1:15" x14ac:dyDescent="0.35">
      <c r="A30" s="124"/>
      <c r="B30" s="124"/>
      <c r="C30" s="125"/>
      <c r="D30" s="30" t="s">
        <v>174</v>
      </c>
      <c r="E30" s="31" t="s">
        <v>8</v>
      </c>
      <c r="F30" s="21">
        <v>319</v>
      </c>
      <c r="G30" s="21">
        <v>156</v>
      </c>
      <c r="H30" s="21">
        <v>7</v>
      </c>
      <c r="I30" s="26"/>
      <c r="J30" s="21">
        <v>1</v>
      </c>
      <c r="K30" s="2">
        <f>SUM(F23:F30)</f>
        <v>1506</v>
      </c>
      <c r="L30" s="2">
        <f>SUM(G23:G30)</f>
        <v>458</v>
      </c>
      <c r="M30" s="2">
        <f>SUM(H23:H30)</f>
        <v>99</v>
      </c>
      <c r="N30" s="2">
        <f>SUM(I23:I30)</f>
        <v>52</v>
      </c>
      <c r="O30" s="2">
        <f>SUM(J23:J30)</f>
        <v>4</v>
      </c>
    </row>
    <row r="31" spans="1:15" x14ac:dyDescent="0.35">
      <c r="A31" s="243" t="s">
        <v>398</v>
      </c>
      <c r="B31" s="243" t="s">
        <v>399</v>
      </c>
      <c r="C31" s="244">
        <v>4532</v>
      </c>
      <c r="D31" s="204" t="s">
        <v>175</v>
      </c>
      <c r="E31" s="205" t="s">
        <v>0</v>
      </c>
      <c r="F31" s="206">
        <v>1</v>
      </c>
      <c r="G31" s="206">
        <v>20</v>
      </c>
      <c r="H31" s="206">
        <v>1</v>
      </c>
      <c r="I31" s="206">
        <v>2</v>
      </c>
      <c r="J31" s="207"/>
    </row>
    <row r="32" spans="1:15" x14ac:dyDescent="0.35">
      <c r="A32" s="245"/>
      <c r="B32" s="245"/>
      <c r="C32" s="246"/>
      <c r="D32" s="204" t="s">
        <v>175</v>
      </c>
      <c r="E32" s="205" t="s">
        <v>17</v>
      </c>
      <c r="F32" s="206">
        <v>47</v>
      </c>
      <c r="G32" s="206">
        <v>45</v>
      </c>
      <c r="H32" s="206">
        <v>7</v>
      </c>
      <c r="I32" s="206">
        <v>12</v>
      </c>
      <c r="J32" s="206">
        <v>1</v>
      </c>
    </row>
    <row r="33" spans="1:15" x14ac:dyDescent="0.35">
      <c r="A33" s="245"/>
      <c r="B33" s="245"/>
      <c r="C33" s="246"/>
      <c r="D33" s="204" t="s">
        <v>175</v>
      </c>
      <c r="E33" s="205" t="s">
        <v>2</v>
      </c>
      <c r="F33" s="206">
        <v>110</v>
      </c>
      <c r="G33" s="206">
        <v>55</v>
      </c>
      <c r="H33" s="206">
        <v>4</v>
      </c>
      <c r="I33" s="206">
        <v>14</v>
      </c>
      <c r="J33" s="207"/>
    </row>
    <row r="34" spans="1:15" x14ac:dyDescent="0.35">
      <c r="A34" s="245"/>
      <c r="B34" s="245"/>
      <c r="C34" s="246"/>
      <c r="D34" s="204" t="s">
        <v>175</v>
      </c>
      <c r="E34" s="205" t="s">
        <v>3</v>
      </c>
      <c r="F34" s="206">
        <v>180</v>
      </c>
      <c r="G34" s="206">
        <v>95</v>
      </c>
      <c r="H34" s="206">
        <v>16</v>
      </c>
      <c r="I34" s="206">
        <v>6</v>
      </c>
      <c r="J34" s="206">
        <v>1</v>
      </c>
    </row>
    <row r="35" spans="1:15" x14ac:dyDescent="0.35">
      <c r="A35" s="245"/>
      <c r="B35" s="245"/>
      <c r="C35" s="246"/>
      <c r="D35" s="204" t="s">
        <v>175</v>
      </c>
      <c r="E35" s="205" t="s">
        <v>4</v>
      </c>
      <c r="F35" s="206">
        <v>120</v>
      </c>
      <c r="G35" s="206">
        <v>38</v>
      </c>
      <c r="H35" s="206">
        <v>5</v>
      </c>
      <c r="I35" s="206">
        <v>15</v>
      </c>
      <c r="J35" s="207"/>
    </row>
    <row r="36" spans="1:15" x14ac:dyDescent="0.35">
      <c r="A36" s="245"/>
      <c r="B36" s="245"/>
      <c r="C36" s="246"/>
      <c r="D36" s="204" t="s">
        <v>175</v>
      </c>
      <c r="E36" s="205" t="s">
        <v>5</v>
      </c>
      <c r="F36" s="206">
        <v>187</v>
      </c>
      <c r="G36" s="206">
        <v>115</v>
      </c>
      <c r="H36" s="206">
        <v>15</v>
      </c>
      <c r="I36" s="206">
        <v>7</v>
      </c>
      <c r="J36" s="207"/>
    </row>
    <row r="37" spans="1:15" x14ac:dyDescent="0.35">
      <c r="A37" s="245"/>
      <c r="B37" s="245"/>
      <c r="C37" s="246"/>
      <c r="D37" s="204" t="s">
        <v>175</v>
      </c>
      <c r="E37" s="205" t="s">
        <v>6</v>
      </c>
      <c r="F37" s="206">
        <v>123</v>
      </c>
      <c r="G37" s="206">
        <v>19</v>
      </c>
      <c r="H37" s="206">
        <v>4</v>
      </c>
      <c r="I37" s="206">
        <v>1</v>
      </c>
      <c r="J37" s="207"/>
    </row>
    <row r="38" spans="1:15" x14ac:dyDescent="0.35">
      <c r="A38" s="245"/>
      <c r="B38" s="245"/>
      <c r="C38" s="246"/>
      <c r="D38" s="204" t="s">
        <v>175</v>
      </c>
      <c r="E38" s="205" t="s">
        <v>7</v>
      </c>
      <c r="F38" s="206">
        <v>117</v>
      </c>
      <c r="G38" s="206">
        <v>20</v>
      </c>
      <c r="H38" s="206">
        <v>7</v>
      </c>
      <c r="I38" s="206">
        <v>4</v>
      </c>
      <c r="J38" s="207"/>
    </row>
    <row r="39" spans="1:15" x14ac:dyDescent="0.35">
      <c r="A39" s="245"/>
      <c r="B39" s="245"/>
      <c r="C39" s="246"/>
      <c r="D39" s="204" t="s">
        <v>175</v>
      </c>
      <c r="E39" s="205" t="s">
        <v>8</v>
      </c>
      <c r="F39" s="206">
        <v>79</v>
      </c>
      <c r="G39" s="206">
        <v>17</v>
      </c>
      <c r="H39" s="206">
        <v>4</v>
      </c>
      <c r="I39" s="206">
        <v>7</v>
      </c>
      <c r="J39" s="207"/>
    </row>
    <row r="40" spans="1:15" x14ac:dyDescent="0.35">
      <c r="A40" s="245"/>
      <c r="B40" s="245"/>
      <c r="C40" s="246"/>
      <c r="D40" s="204" t="s">
        <v>175</v>
      </c>
      <c r="E40" s="205" t="s">
        <v>9</v>
      </c>
      <c r="F40" s="206">
        <v>280</v>
      </c>
      <c r="G40" s="206">
        <v>53</v>
      </c>
      <c r="H40" s="206">
        <v>16</v>
      </c>
      <c r="I40" s="206">
        <v>5</v>
      </c>
      <c r="J40" s="207"/>
    </row>
    <row r="41" spans="1:15" x14ac:dyDescent="0.35">
      <c r="A41" s="245"/>
      <c r="B41" s="245"/>
      <c r="C41" s="246"/>
      <c r="D41" s="204" t="s">
        <v>175</v>
      </c>
      <c r="E41" s="205" t="s">
        <v>11</v>
      </c>
      <c r="F41" s="206">
        <v>241</v>
      </c>
      <c r="G41" s="206">
        <v>32</v>
      </c>
      <c r="H41" s="206">
        <v>3</v>
      </c>
      <c r="I41" s="206">
        <v>22</v>
      </c>
      <c r="J41" s="206">
        <v>2</v>
      </c>
    </row>
    <row r="42" spans="1:15" x14ac:dyDescent="0.35">
      <c r="A42" s="245"/>
      <c r="B42" s="245"/>
      <c r="C42" s="246"/>
      <c r="D42" s="204" t="s">
        <v>175</v>
      </c>
      <c r="E42" s="205" t="s">
        <v>12</v>
      </c>
      <c r="F42" s="206">
        <v>407</v>
      </c>
      <c r="G42" s="206">
        <v>53</v>
      </c>
      <c r="H42" s="206">
        <v>11</v>
      </c>
      <c r="I42" s="207"/>
      <c r="J42" s="207"/>
    </row>
    <row r="43" spans="1:15" x14ac:dyDescent="0.35">
      <c r="A43" s="245"/>
      <c r="B43" s="245"/>
      <c r="C43" s="246"/>
      <c r="D43" s="204" t="s">
        <v>175</v>
      </c>
      <c r="E43" s="205" t="s">
        <v>15</v>
      </c>
      <c r="F43" s="206"/>
      <c r="G43" s="206">
        <v>5</v>
      </c>
      <c r="H43" s="206">
        <v>1</v>
      </c>
      <c r="I43" s="207"/>
      <c r="J43" s="207"/>
      <c r="K43" s="2">
        <f>SUM(F31:F43)</f>
        <v>1892</v>
      </c>
      <c r="L43" s="2">
        <f t="shared" ref="L43:O43" si="1">SUM(G31:G43)</f>
        <v>567</v>
      </c>
      <c r="M43" s="2">
        <f t="shared" si="1"/>
        <v>94</v>
      </c>
      <c r="N43" s="2">
        <f t="shared" si="1"/>
        <v>95</v>
      </c>
      <c r="O43" s="2">
        <f t="shared" si="1"/>
        <v>4</v>
      </c>
    </row>
    <row r="44" spans="1:15" x14ac:dyDescent="0.35">
      <c r="A44" s="122" t="s">
        <v>400</v>
      </c>
      <c r="B44" s="122" t="s">
        <v>401</v>
      </c>
      <c r="C44" s="123">
        <v>2097</v>
      </c>
      <c r="D44" s="30" t="s">
        <v>176</v>
      </c>
      <c r="E44" s="31" t="s">
        <v>17</v>
      </c>
      <c r="F44" s="21">
        <v>152</v>
      </c>
      <c r="G44" s="21">
        <v>32</v>
      </c>
      <c r="H44" s="21">
        <v>1</v>
      </c>
      <c r="I44" s="21">
        <v>3</v>
      </c>
      <c r="J44" s="21">
        <v>1</v>
      </c>
    </row>
    <row r="45" spans="1:15" x14ac:dyDescent="0.35">
      <c r="A45" s="124"/>
      <c r="B45" s="124"/>
      <c r="C45" s="125"/>
      <c r="D45" s="30" t="s">
        <v>176</v>
      </c>
      <c r="E45" s="31" t="s">
        <v>2</v>
      </c>
      <c r="F45" s="21">
        <v>107</v>
      </c>
      <c r="G45" s="21">
        <v>35</v>
      </c>
      <c r="H45" s="21">
        <v>2</v>
      </c>
      <c r="I45" s="21">
        <v>3</v>
      </c>
      <c r="J45" s="26"/>
    </row>
    <row r="46" spans="1:15" x14ac:dyDescent="0.35">
      <c r="A46" s="124"/>
      <c r="B46" s="124"/>
      <c r="C46" s="125"/>
      <c r="D46" s="30" t="s">
        <v>176</v>
      </c>
      <c r="E46" s="31" t="s">
        <v>3</v>
      </c>
      <c r="F46" s="21">
        <v>36</v>
      </c>
      <c r="G46" s="21">
        <v>12</v>
      </c>
      <c r="H46" s="21">
        <v>1</v>
      </c>
      <c r="I46" s="21">
        <v>7</v>
      </c>
      <c r="J46" s="26"/>
    </row>
    <row r="47" spans="1:15" x14ac:dyDescent="0.35">
      <c r="A47" s="124"/>
      <c r="B47" s="124"/>
      <c r="C47" s="125"/>
      <c r="D47" s="30" t="s">
        <v>176</v>
      </c>
      <c r="E47" s="31" t="s">
        <v>4</v>
      </c>
      <c r="F47" s="21">
        <v>96</v>
      </c>
      <c r="G47" s="21">
        <v>19</v>
      </c>
      <c r="H47" s="26"/>
      <c r="I47" s="21">
        <v>3</v>
      </c>
      <c r="J47" s="26"/>
    </row>
    <row r="48" spans="1:15" x14ac:dyDescent="0.35">
      <c r="A48" s="124"/>
      <c r="B48" s="124"/>
      <c r="C48" s="125"/>
      <c r="D48" s="30" t="s">
        <v>176</v>
      </c>
      <c r="E48" s="31" t="s">
        <v>5</v>
      </c>
      <c r="F48" s="21">
        <v>74</v>
      </c>
      <c r="G48" s="21">
        <v>7</v>
      </c>
      <c r="H48" s="26"/>
      <c r="I48" s="21">
        <v>10</v>
      </c>
      <c r="J48" s="26"/>
    </row>
    <row r="49" spans="1:15" x14ac:dyDescent="0.35">
      <c r="A49" s="124"/>
      <c r="B49" s="124"/>
      <c r="C49" s="125"/>
      <c r="D49" s="30" t="s">
        <v>176</v>
      </c>
      <c r="E49" s="31" t="s">
        <v>6</v>
      </c>
      <c r="F49" s="21">
        <v>144</v>
      </c>
      <c r="G49" s="21">
        <v>41</v>
      </c>
      <c r="H49" s="21">
        <v>13</v>
      </c>
      <c r="I49" s="21">
        <v>7</v>
      </c>
      <c r="J49" s="26"/>
    </row>
    <row r="50" spans="1:15" x14ac:dyDescent="0.35">
      <c r="A50" s="124"/>
      <c r="B50" s="124"/>
      <c r="C50" s="125"/>
      <c r="D50" s="30" t="s">
        <v>176</v>
      </c>
      <c r="E50" s="31" t="s">
        <v>7</v>
      </c>
      <c r="F50" s="21">
        <v>112</v>
      </c>
      <c r="G50" s="21">
        <v>51</v>
      </c>
      <c r="H50" s="21">
        <v>30</v>
      </c>
      <c r="I50" s="21">
        <v>2</v>
      </c>
      <c r="J50" s="26"/>
    </row>
    <row r="51" spans="1:15" x14ac:dyDescent="0.35">
      <c r="A51" s="124"/>
      <c r="B51" s="124"/>
      <c r="C51" s="125"/>
      <c r="D51" s="30" t="s">
        <v>176</v>
      </c>
      <c r="E51" s="31" t="s">
        <v>8</v>
      </c>
      <c r="F51" s="21">
        <v>66</v>
      </c>
      <c r="G51" s="21">
        <v>25</v>
      </c>
      <c r="H51" s="26"/>
      <c r="I51" s="21">
        <v>5</v>
      </c>
      <c r="J51" s="26"/>
    </row>
    <row r="52" spans="1:15" x14ac:dyDescent="0.35">
      <c r="A52" s="124"/>
      <c r="B52" s="124"/>
      <c r="C52" s="125"/>
      <c r="D52" s="30" t="s">
        <v>176</v>
      </c>
      <c r="E52" s="31" t="s">
        <v>9</v>
      </c>
      <c r="F52" s="21">
        <v>124</v>
      </c>
      <c r="G52" s="21">
        <v>15</v>
      </c>
      <c r="H52" s="21">
        <v>12</v>
      </c>
      <c r="I52" s="21">
        <v>3</v>
      </c>
      <c r="J52" s="21">
        <v>1</v>
      </c>
    </row>
    <row r="53" spans="1:15" x14ac:dyDescent="0.35">
      <c r="A53" s="124"/>
      <c r="B53" s="124"/>
      <c r="C53" s="125"/>
      <c r="D53" s="30" t="s">
        <v>176</v>
      </c>
      <c r="E53" s="31" t="s">
        <v>11</v>
      </c>
      <c r="F53" s="21">
        <v>63</v>
      </c>
      <c r="G53" s="21">
        <v>25</v>
      </c>
      <c r="H53" s="21">
        <v>2</v>
      </c>
      <c r="I53" s="21">
        <v>7</v>
      </c>
      <c r="J53" s="26"/>
    </row>
    <row r="54" spans="1:15" x14ac:dyDescent="0.35">
      <c r="A54" s="124"/>
      <c r="B54" s="124"/>
      <c r="C54" s="125"/>
      <c r="D54" s="30" t="s">
        <v>176</v>
      </c>
      <c r="E54" s="31" t="s">
        <v>12</v>
      </c>
      <c r="F54" s="21">
        <v>65</v>
      </c>
      <c r="G54" s="21">
        <v>30</v>
      </c>
      <c r="H54" s="21">
        <v>15</v>
      </c>
      <c r="I54" s="26"/>
      <c r="J54" s="26"/>
    </row>
    <row r="55" spans="1:15" x14ac:dyDescent="0.35">
      <c r="A55" s="124"/>
      <c r="B55" s="124"/>
      <c r="C55" s="125"/>
      <c r="D55" s="30" t="s">
        <v>176</v>
      </c>
      <c r="E55" s="31" t="s">
        <v>13</v>
      </c>
      <c r="F55" s="21">
        <v>70</v>
      </c>
      <c r="G55" s="21">
        <v>7</v>
      </c>
      <c r="H55" s="21">
        <v>2</v>
      </c>
      <c r="I55" s="21">
        <v>2</v>
      </c>
      <c r="J55" s="26"/>
    </row>
    <row r="56" spans="1:15" x14ac:dyDescent="0.35">
      <c r="A56" s="124"/>
      <c r="B56" s="124"/>
      <c r="C56" s="125"/>
      <c r="D56" s="30" t="s">
        <v>176</v>
      </c>
      <c r="E56" s="31" t="s">
        <v>21</v>
      </c>
      <c r="F56" s="21">
        <v>36</v>
      </c>
      <c r="G56" s="21">
        <v>20</v>
      </c>
      <c r="H56" s="21">
        <v>4</v>
      </c>
      <c r="I56" s="21">
        <v>3</v>
      </c>
      <c r="J56" s="26"/>
      <c r="K56" s="2">
        <f>SUM(F44:F56)</f>
        <v>1145</v>
      </c>
      <c r="L56" s="2">
        <f>SUM(G44:G56)</f>
        <v>319</v>
      </c>
      <c r="M56" s="2">
        <f>SUM(H44:H56)</f>
        <v>82</v>
      </c>
      <c r="N56" s="2">
        <f>SUM(I44:I56)</f>
        <v>55</v>
      </c>
      <c r="O56" s="2">
        <f>SUM(J44:J56)</f>
        <v>2</v>
      </c>
    </row>
    <row r="57" spans="1:15" x14ac:dyDescent="0.35">
      <c r="A57" s="101" t="s">
        <v>402</v>
      </c>
      <c r="B57" s="101" t="s">
        <v>403</v>
      </c>
      <c r="C57" s="102">
        <v>1970</v>
      </c>
      <c r="D57" s="30" t="s">
        <v>177</v>
      </c>
      <c r="E57" s="31" t="s">
        <v>17</v>
      </c>
      <c r="F57" s="25">
        <v>113</v>
      </c>
      <c r="G57" s="25">
        <v>20</v>
      </c>
      <c r="H57" s="25">
        <v>10</v>
      </c>
      <c r="I57" s="25">
        <v>1</v>
      </c>
      <c r="J57" s="27"/>
    </row>
    <row r="58" spans="1:15" x14ac:dyDescent="0.35">
      <c r="A58" s="73"/>
      <c r="B58" s="73"/>
      <c r="C58" s="103"/>
      <c r="D58" s="30" t="s">
        <v>177</v>
      </c>
      <c r="E58" s="31" t="s">
        <v>2</v>
      </c>
      <c r="F58" s="25">
        <v>52</v>
      </c>
      <c r="G58" s="25">
        <v>17</v>
      </c>
      <c r="H58" s="25">
        <v>3</v>
      </c>
      <c r="I58" s="25">
        <v>2</v>
      </c>
      <c r="J58" s="25">
        <v>1</v>
      </c>
    </row>
    <row r="59" spans="1:15" x14ac:dyDescent="0.35">
      <c r="A59" s="73"/>
      <c r="B59" s="73"/>
      <c r="C59" s="103"/>
      <c r="D59" s="30" t="s">
        <v>177</v>
      </c>
      <c r="E59" s="31" t="s">
        <v>3</v>
      </c>
      <c r="F59" s="25">
        <v>94</v>
      </c>
      <c r="G59" s="25">
        <v>20</v>
      </c>
      <c r="H59" s="27"/>
      <c r="I59" s="25">
        <v>5</v>
      </c>
      <c r="J59" s="27"/>
    </row>
    <row r="60" spans="1:15" x14ac:dyDescent="0.35">
      <c r="A60" s="73"/>
      <c r="B60" s="73"/>
      <c r="C60" s="103"/>
      <c r="D60" s="30" t="s">
        <v>177</v>
      </c>
      <c r="E60" s="31" t="s">
        <v>4</v>
      </c>
      <c r="F60" s="25">
        <v>197</v>
      </c>
      <c r="G60" s="25">
        <v>37</v>
      </c>
      <c r="H60" s="25">
        <v>1</v>
      </c>
      <c r="I60" s="25">
        <v>4</v>
      </c>
      <c r="J60" s="27"/>
    </row>
    <row r="61" spans="1:15" x14ac:dyDescent="0.35">
      <c r="A61" s="73"/>
      <c r="B61" s="73"/>
      <c r="C61" s="103"/>
      <c r="D61" s="30" t="s">
        <v>177</v>
      </c>
      <c r="E61" s="31" t="s">
        <v>5</v>
      </c>
      <c r="F61" s="25">
        <v>91</v>
      </c>
      <c r="G61" s="25">
        <v>23</v>
      </c>
      <c r="H61" s="25">
        <v>2</v>
      </c>
      <c r="I61" s="25">
        <v>4</v>
      </c>
      <c r="J61" s="27"/>
      <c r="K61" s="2">
        <f>SUM(F57:F61)</f>
        <v>547</v>
      </c>
      <c r="L61" s="2">
        <f t="shared" ref="L61:O61" si="2">SUM(G57:G61)</f>
        <v>117</v>
      </c>
      <c r="M61" s="2">
        <f t="shared" si="2"/>
        <v>16</v>
      </c>
      <c r="N61" s="2">
        <f t="shared" si="2"/>
        <v>16</v>
      </c>
      <c r="O61" s="2">
        <f t="shared" si="2"/>
        <v>1</v>
      </c>
    </row>
    <row r="62" spans="1:15" x14ac:dyDescent="0.35">
      <c r="A62" s="122" t="s">
        <v>404</v>
      </c>
      <c r="B62" s="122" t="s">
        <v>405</v>
      </c>
      <c r="C62" s="123">
        <v>2248</v>
      </c>
      <c r="D62" s="30" t="s">
        <v>178</v>
      </c>
      <c r="E62" s="31" t="s">
        <v>17</v>
      </c>
      <c r="F62" s="21">
        <v>42</v>
      </c>
      <c r="G62" s="21">
        <v>24</v>
      </c>
      <c r="H62" s="21">
        <v>13</v>
      </c>
      <c r="I62" s="21">
        <v>1</v>
      </c>
      <c r="J62" s="26"/>
    </row>
    <row r="63" spans="1:15" x14ac:dyDescent="0.35">
      <c r="A63" s="124"/>
      <c r="B63" s="124"/>
      <c r="C63" s="125"/>
      <c r="D63" s="30" t="s">
        <v>178</v>
      </c>
      <c r="E63" s="31" t="s">
        <v>2</v>
      </c>
      <c r="F63" s="21">
        <v>37</v>
      </c>
      <c r="G63" s="21">
        <v>19</v>
      </c>
      <c r="H63" s="21">
        <v>7</v>
      </c>
      <c r="I63" s="21">
        <v>3</v>
      </c>
      <c r="J63" s="26"/>
    </row>
    <row r="64" spans="1:15" x14ac:dyDescent="0.35">
      <c r="A64" s="124"/>
      <c r="B64" s="124"/>
      <c r="C64" s="125"/>
      <c r="D64" s="30" t="s">
        <v>178</v>
      </c>
      <c r="E64" s="31" t="s">
        <v>3</v>
      </c>
      <c r="F64" s="21">
        <v>63</v>
      </c>
      <c r="G64" s="21">
        <v>30</v>
      </c>
      <c r="H64" s="21">
        <v>3</v>
      </c>
      <c r="I64" s="21">
        <v>3</v>
      </c>
      <c r="J64" s="26"/>
    </row>
    <row r="65" spans="1:15" x14ac:dyDescent="0.35">
      <c r="A65" s="124"/>
      <c r="B65" s="124"/>
      <c r="C65" s="125"/>
      <c r="D65" s="30" t="s">
        <v>178</v>
      </c>
      <c r="E65" s="31" t="s">
        <v>4</v>
      </c>
      <c r="F65" s="21">
        <v>21</v>
      </c>
      <c r="G65" s="21">
        <v>12</v>
      </c>
      <c r="H65" s="21">
        <v>1</v>
      </c>
      <c r="I65" s="21">
        <v>4</v>
      </c>
      <c r="J65" s="26"/>
    </row>
    <row r="66" spans="1:15" x14ac:dyDescent="0.35">
      <c r="A66" s="124"/>
      <c r="B66" s="124"/>
      <c r="C66" s="125"/>
      <c r="D66" s="30" t="s">
        <v>178</v>
      </c>
      <c r="E66" s="31" t="s">
        <v>5</v>
      </c>
      <c r="F66" s="21">
        <v>85</v>
      </c>
      <c r="G66" s="21">
        <v>19</v>
      </c>
      <c r="H66" s="21">
        <v>3</v>
      </c>
      <c r="I66" s="21">
        <v>3</v>
      </c>
      <c r="J66" s="26"/>
    </row>
    <row r="67" spans="1:15" x14ac:dyDescent="0.35">
      <c r="A67" s="124"/>
      <c r="B67" s="124"/>
      <c r="C67" s="125"/>
      <c r="D67" s="30" t="s">
        <v>178</v>
      </c>
      <c r="E67" s="31" t="s">
        <v>6</v>
      </c>
      <c r="F67" s="21">
        <v>135</v>
      </c>
      <c r="G67" s="21">
        <v>32</v>
      </c>
      <c r="H67" s="21">
        <v>2</v>
      </c>
      <c r="I67" s="21">
        <v>3</v>
      </c>
      <c r="J67" s="26"/>
    </row>
    <row r="68" spans="1:15" x14ac:dyDescent="0.35">
      <c r="A68" s="124"/>
      <c r="B68" s="124"/>
      <c r="C68" s="125"/>
      <c r="D68" s="30" t="s">
        <v>178</v>
      </c>
      <c r="E68" s="31" t="s">
        <v>7</v>
      </c>
      <c r="F68" s="21">
        <v>59</v>
      </c>
      <c r="G68" s="21">
        <v>25</v>
      </c>
      <c r="H68" s="21">
        <v>4</v>
      </c>
      <c r="I68" s="21">
        <v>6</v>
      </c>
      <c r="J68" s="26"/>
    </row>
    <row r="69" spans="1:15" x14ac:dyDescent="0.35">
      <c r="A69" s="124"/>
      <c r="B69" s="124"/>
      <c r="C69" s="125"/>
      <c r="D69" s="30" t="s">
        <v>178</v>
      </c>
      <c r="E69" s="31" t="s">
        <v>8</v>
      </c>
      <c r="F69" s="21">
        <v>147</v>
      </c>
      <c r="G69" s="21">
        <v>21</v>
      </c>
      <c r="H69" s="26"/>
      <c r="I69" s="21">
        <v>5</v>
      </c>
      <c r="J69" s="26"/>
    </row>
    <row r="70" spans="1:15" x14ac:dyDescent="0.35">
      <c r="A70" s="124"/>
      <c r="B70" s="124"/>
      <c r="C70" s="125"/>
      <c r="D70" s="30" t="s">
        <v>178</v>
      </c>
      <c r="E70" s="31" t="s">
        <v>9</v>
      </c>
      <c r="F70" s="21">
        <v>83</v>
      </c>
      <c r="G70" s="21">
        <v>20</v>
      </c>
      <c r="H70" s="26"/>
      <c r="I70" s="21">
        <v>1</v>
      </c>
      <c r="J70" s="21">
        <v>1</v>
      </c>
    </row>
    <row r="71" spans="1:15" x14ac:dyDescent="0.35">
      <c r="A71" s="124"/>
      <c r="B71" s="124"/>
      <c r="C71" s="125"/>
      <c r="D71" s="30" t="s">
        <v>178</v>
      </c>
      <c r="E71" s="31" t="s">
        <v>11</v>
      </c>
      <c r="F71" s="21">
        <v>67</v>
      </c>
      <c r="G71" s="21">
        <v>8</v>
      </c>
      <c r="H71" s="21">
        <v>3</v>
      </c>
      <c r="I71" s="21">
        <v>2</v>
      </c>
      <c r="J71" s="26"/>
    </row>
    <row r="72" spans="1:15" x14ac:dyDescent="0.35">
      <c r="A72" s="124"/>
      <c r="B72" s="124"/>
      <c r="C72" s="125"/>
      <c r="D72" s="30" t="s">
        <v>178</v>
      </c>
      <c r="E72" s="31" t="s">
        <v>12</v>
      </c>
      <c r="F72" s="21">
        <v>60</v>
      </c>
      <c r="G72" s="21">
        <v>8</v>
      </c>
      <c r="H72" s="26"/>
      <c r="I72" s="21">
        <v>7</v>
      </c>
      <c r="J72" s="26"/>
    </row>
    <row r="73" spans="1:15" x14ac:dyDescent="0.35">
      <c r="A73" s="124"/>
      <c r="B73" s="124"/>
      <c r="C73" s="125"/>
      <c r="D73" s="30" t="s">
        <v>178</v>
      </c>
      <c r="E73" s="31" t="s">
        <v>13</v>
      </c>
      <c r="F73" s="21">
        <v>82</v>
      </c>
      <c r="G73" s="21">
        <v>45</v>
      </c>
      <c r="H73" s="21">
        <v>9</v>
      </c>
      <c r="I73" s="21">
        <v>4</v>
      </c>
      <c r="J73" s="26"/>
      <c r="K73" s="2">
        <f>SUM(F62:F73)</f>
        <v>881</v>
      </c>
      <c r="L73" s="2">
        <f>SUM(G62:G73)</f>
        <v>263</v>
      </c>
      <c r="M73" s="2">
        <f>SUM(H62:H73)</f>
        <v>45</v>
      </c>
      <c r="N73" s="2">
        <f>SUM(I62:I73)</f>
        <v>42</v>
      </c>
      <c r="O73" s="2">
        <f t="shared" ref="O73" si="3">SUM(J62:J73)</f>
        <v>1</v>
      </c>
    </row>
    <row r="74" spans="1:15" x14ac:dyDescent="0.35">
      <c r="A74" s="101" t="s">
        <v>406</v>
      </c>
      <c r="B74" s="101" t="s">
        <v>407</v>
      </c>
      <c r="C74" s="102">
        <v>1642</v>
      </c>
      <c r="D74" s="30" t="s">
        <v>179</v>
      </c>
      <c r="E74" s="31" t="s">
        <v>17</v>
      </c>
      <c r="F74" s="25">
        <v>117</v>
      </c>
      <c r="G74" s="25">
        <v>11</v>
      </c>
      <c r="H74" s="27"/>
      <c r="I74" s="25">
        <v>7</v>
      </c>
      <c r="J74" s="27"/>
    </row>
    <row r="75" spans="1:15" x14ac:dyDescent="0.35">
      <c r="A75" s="73"/>
      <c r="B75" s="73"/>
      <c r="C75" s="103"/>
      <c r="D75" s="30" t="s">
        <v>179</v>
      </c>
      <c r="E75" s="31" t="s">
        <v>2</v>
      </c>
      <c r="F75" s="25">
        <v>116</v>
      </c>
      <c r="G75" s="25">
        <v>26</v>
      </c>
      <c r="H75" s="25">
        <v>12</v>
      </c>
      <c r="I75" s="25">
        <v>8</v>
      </c>
      <c r="J75" s="27"/>
    </row>
    <row r="76" spans="1:15" x14ac:dyDescent="0.35">
      <c r="A76" s="73"/>
      <c r="B76" s="73"/>
      <c r="C76" s="103"/>
      <c r="D76" s="30" t="s">
        <v>179</v>
      </c>
      <c r="E76" s="31" t="s">
        <v>3</v>
      </c>
      <c r="F76" s="25">
        <v>131</v>
      </c>
      <c r="G76" s="25">
        <v>35</v>
      </c>
      <c r="H76" s="25">
        <v>8</v>
      </c>
      <c r="I76" s="25">
        <v>7</v>
      </c>
      <c r="J76" s="27"/>
    </row>
    <row r="77" spans="1:15" x14ac:dyDescent="0.35">
      <c r="A77" s="73"/>
      <c r="B77" s="73"/>
      <c r="C77" s="103"/>
      <c r="D77" s="30" t="s">
        <v>179</v>
      </c>
      <c r="E77" s="31" t="s">
        <v>4</v>
      </c>
      <c r="F77" s="25">
        <v>163</v>
      </c>
      <c r="G77" s="25">
        <v>29</v>
      </c>
      <c r="H77" s="27"/>
      <c r="I77" s="25">
        <v>1</v>
      </c>
      <c r="J77" s="27"/>
    </row>
    <row r="78" spans="1:15" x14ac:dyDescent="0.35">
      <c r="A78" s="73"/>
      <c r="B78" s="73"/>
      <c r="C78" s="103"/>
      <c r="D78" s="30" t="s">
        <v>179</v>
      </c>
      <c r="E78" s="31" t="s">
        <v>5</v>
      </c>
      <c r="F78" s="25">
        <v>38</v>
      </c>
      <c r="G78" s="25">
        <v>15</v>
      </c>
      <c r="H78" s="27"/>
      <c r="I78" s="25">
        <v>1</v>
      </c>
      <c r="J78" s="27"/>
    </row>
    <row r="79" spans="1:15" x14ac:dyDescent="0.35">
      <c r="A79" s="73"/>
      <c r="B79" s="73"/>
      <c r="C79" s="103"/>
      <c r="D79" s="30" t="s">
        <v>179</v>
      </c>
      <c r="E79" s="31" t="s">
        <v>6</v>
      </c>
      <c r="F79" s="25">
        <v>59</v>
      </c>
      <c r="G79" s="25">
        <v>13</v>
      </c>
      <c r="H79" s="27"/>
      <c r="I79" s="25">
        <v>2</v>
      </c>
      <c r="J79" s="27"/>
    </row>
    <row r="80" spans="1:15" x14ac:dyDescent="0.35">
      <c r="A80" s="73"/>
      <c r="B80" s="73"/>
      <c r="C80" s="103"/>
      <c r="D80" s="30" t="s">
        <v>179</v>
      </c>
      <c r="E80" s="31" t="s">
        <v>7</v>
      </c>
      <c r="F80" s="25">
        <v>121</v>
      </c>
      <c r="G80" s="25">
        <v>34</v>
      </c>
      <c r="H80" s="25">
        <v>3</v>
      </c>
      <c r="I80" s="25">
        <v>4</v>
      </c>
      <c r="J80" s="27"/>
      <c r="K80" s="2">
        <f>SUM(F74:F80)</f>
        <v>745</v>
      </c>
      <c r="L80" s="2">
        <f>SUM(G74:G80)</f>
        <v>163</v>
      </c>
      <c r="M80" s="2">
        <f>SUM(H74:H80)</f>
        <v>23</v>
      </c>
      <c r="N80" s="2">
        <f>SUM(I74:I80)</f>
        <v>30</v>
      </c>
      <c r="O80" s="2">
        <f t="shared" ref="O80" si="4">SUM(J74:J80)</f>
        <v>0</v>
      </c>
    </row>
    <row r="81" spans="1:15" x14ac:dyDescent="0.35">
      <c r="A81" s="122" t="s">
        <v>408</v>
      </c>
      <c r="B81" s="122" t="s">
        <v>409</v>
      </c>
      <c r="C81" s="123">
        <v>1163</v>
      </c>
      <c r="D81" s="30" t="s">
        <v>180</v>
      </c>
      <c r="E81" s="31" t="s">
        <v>17</v>
      </c>
      <c r="F81" s="21">
        <v>58</v>
      </c>
      <c r="G81" s="21">
        <v>3</v>
      </c>
      <c r="H81" s="21">
        <v>1</v>
      </c>
      <c r="I81" s="21">
        <v>4</v>
      </c>
      <c r="J81" s="26"/>
    </row>
    <row r="82" spans="1:15" x14ac:dyDescent="0.35">
      <c r="A82" s="124"/>
      <c r="B82" s="124"/>
      <c r="C82" s="125"/>
      <c r="D82" s="30" t="s">
        <v>180</v>
      </c>
      <c r="E82" s="31" t="s">
        <v>2</v>
      </c>
      <c r="F82" s="21">
        <v>120</v>
      </c>
      <c r="G82" s="21">
        <v>36</v>
      </c>
      <c r="H82" s="21">
        <v>1</v>
      </c>
      <c r="I82" s="21">
        <v>4</v>
      </c>
      <c r="J82" s="26"/>
    </row>
    <row r="83" spans="1:15" x14ac:dyDescent="0.35">
      <c r="A83" s="124"/>
      <c r="B83" s="124"/>
      <c r="C83" s="125"/>
      <c r="D83" s="30" t="s">
        <v>180</v>
      </c>
      <c r="E83" s="31" t="s">
        <v>3</v>
      </c>
      <c r="F83" s="21">
        <v>138</v>
      </c>
      <c r="G83" s="21">
        <v>43</v>
      </c>
      <c r="H83" s="21">
        <v>3</v>
      </c>
      <c r="I83" s="21">
        <v>1</v>
      </c>
      <c r="J83" s="26"/>
    </row>
    <row r="84" spans="1:15" x14ac:dyDescent="0.35">
      <c r="A84" s="124"/>
      <c r="B84" s="124"/>
      <c r="C84" s="125"/>
      <c r="D84" s="30" t="s">
        <v>180</v>
      </c>
      <c r="E84" s="31" t="s">
        <v>4</v>
      </c>
      <c r="F84" s="21">
        <v>33</v>
      </c>
      <c r="G84" s="21">
        <v>16</v>
      </c>
      <c r="H84" s="26"/>
      <c r="I84" s="21">
        <v>1</v>
      </c>
      <c r="J84" s="26"/>
    </row>
    <row r="85" spans="1:15" x14ac:dyDescent="0.35">
      <c r="A85" s="124"/>
      <c r="B85" s="124"/>
      <c r="C85" s="125"/>
      <c r="D85" s="30" t="s">
        <v>180</v>
      </c>
      <c r="E85" s="31" t="s">
        <v>5</v>
      </c>
      <c r="F85" s="21">
        <v>53</v>
      </c>
      <c r="G85" s="21">
        <v>16</v>
      </c>
      <c r="H85" s="21">
        <v>1</v>
      </c>
      <c r="I85" s="21">
        <v>3</v>
      </c>
      <c r="J85" s="26"/>
    </row>
    <row r="86" spans="1:15" x14ac:dyDescent="0.35">
      <c r="A86" s="124"/>
      <c r="B86" s="124"/>
      <c r="C86" s="125"/>
      <c r="D86" s="30" t="s">
        <v>180</v>
      </c>
      <c r="E86" s="31" t="s">
        <v>6</v>
      </c>
      <c r="F86" s="21">
        <v>58</v>
      </c>
      <c r="G86" s="21">
        <v>27</v>
      </c>
      <c r="H86" s="21">
        <v>3</v>
      </c>
      <c r="I86" s="21">
        <v>4</v>
      </c>
      <c r="J86" s="26"/>
    </row>
    <row r="87" spans="1:15" x14ac:dyDescent="0.35">
      <c r="A87" s="124"/>
      <c r="B87" s="124"/>
      <c r="C87" s="125"/>
      <c r="D87" s="30" t="s">
        <v>180</v>
      </c>
      <c r="E87" s="31" t="s">
        <v>7</v>
      </c>
      <c r="F87" s="21">
        <v>28</v>
      </c>
      <c r="G87" s="21">
        <v>14</v>
      </c>
      <c r="H87" s="21">
        <v>7</v>
      </c>
      <c r="I87" s="21">
        <v>1</v>
      </c>
      <c r="J87" s="26"/>
    </row>
    <row r="88" spans="1:15" x14ac:dyDescent="0.35">
      <c r="A88" s="124"/>
      <c r="B88" s="124"/>
      <c r="C88" s="125"/>
      <c r="D88" s="30" t="s">
        <v>180</v>
      </c>
      <c r="E88" s="31" t="s">
        <v>8</v>
      </c>
      <c r="F88" s="21">
        <v>24</v>
      </c>
      <c r="G88" s="21">
        <v>13</v>
      </c>
      <c r="H88" s="26"/>
      <c r="I88" s="21">
        <v>1</v>
      </c>
      <c r="J88" s="26"/>
    </row>
    <row r="89" spans="1:15" x14ac:dyDescent="0.35">
      <c r="A89" s="124"/>
      <c r="B89" s="124"/>
      <c r="C89" s="125"/>
      <c r="D89" s="30" t="s">
        <v>180</v>
      </c>
      <c r="E89" s="31" t="s">
        <v>9</v>
      </c>
      <c r="F89" s="21">
        <v>31</v>
      </c>
      <c r="G89" s="21">
        <v>6</v>
      </c>
      <c r="H89" s="26"/>
      <c r="I89" s="21">
        <v>1</v>
      </c>
      <c r="J89" s="26"/>
    </row>
    <row r="90" spans="1:15" x14ac:dyDescent="0.35">
      <c r="A90" s="124"/>
      <c r="B90" s="124"/>
      <c r="C90" s="125"/>
      <c r="D90" s="30" t="s">
        <v>180</v>
      </c>
      <c r="E90" s="31" t="s">
        <v>11</v>
      </c>
      <c r="F90" s="21">
        <v>24</v>
      </c>
      <c r="G90" s="26"/>
      <c r="H90" s="26"/>
      <c r="I90" s="21">
        <v>10</v>
      </c>
      <c r="J90" s="26"/>
      <c r="K90" s="2">
        <f>SUM(F81:F90)</f>
        <v>567</v>
      </c>
      <c r="L90" s="2">
        <f t="shared" ref="L90:O90" si="5">SUM(G81:G90)</f>
        <v>174</v>
      </c>
      <c r="M90" s="2">
        <f t="shared" si="5"/>
        <v>16</v>
      </c>
      <c r="N90" s="2">
        <f t="shared" si="5"/>
        <v>30</v>
      </c>
      <c r="O90" s="2">
        <f t="shared" si="5"/>
        <v>0</v>
      </c>
    </row>
    <row r="91" spans="1:15" x14ac:dyDescent="0.35">
      <c r="A91" s="101" t="s">
        <v>410</v>
      </c>
      <c r="B91" s="101" t="s">
        <v>411</v>
      </c>
      <c r="C91" s="102">
        <v>2770</v>
      </c>
      <c r="D91" s="30" t="s">
        <v>181</v>
      </c>
      <c r="E91" s="31" t="s">
        <v>17</v>
      </c>
      <c r="F91" s="25">
        <v>157</v>
      </c>
      <c r="G91" s="25">
        <v>31</v>
      </c>
      <c r="H91" s="25">
        <v>4</v>
      </c>
      <c r="I91" s="25">
        <v>4</v>
      </c>
      <c r="J91" s="27"/>
    </row>
    <row r="92" spans="1:15" x14ac:dyDescent="0.35">
      <c r="A92" s="73"/>
      <c r="B92" s="73"/>
      <c r="C92" s="103"/>
      <c r="D92" s="30" t="s">
        <v>181</v>
      </c>
      <c r="E92" s="31" t="s">
        <v>2</v>
      </c>
      <c r="F92" s="25">
        <v>139</v>
      </c>
      <c r="G92" s="25">
        <v>30</v>
      </c>
      <c r="H92" s="25">
        <v>14</v>
      </c>
      <c r="I92" s="25">
        <v>8</v>
      </c>
      <c r="J92" s="27"/>
    </row>
    <row r="93" spans="1:15" x14ac:dyDescent="0.35">
      <c r="A93" s="73"/>
      <c r="B93" s="73"/>
      <c r="C93" s="103"/>
      <c r="D93" s="30" t="s">
        <v>181</v>
      </c>
      <c r="E93" s="31" t="s">
        <v>3</v>
      </c>
      <c r="F93" s="25">
        <v>191</v>
      </c>
      <c r="G93" s="25">
        <v>41</v>
      </c>
      <c r="H93" s="25">
        <v>7</v>
      </c>
      <c r="I93" s="25">
        <v>4</v>
      </c>
      <c r="J93" s="27"/>
    </row>
    <row r="94" spans="1:15" x14ac:dyDescent="0.35">
      <c r="A94" s="73"/>
      <c r="B94" s="73"/>
      <c r="C94" s="103"/>
      <c r="D94" s="30" t="s">
        <v>181</v>
      </c>
      <c r="E94" s="31" t="s">
        <v>4</v>
      </c>
      <c r="F94" s="25">
        <v>202</v>
      </c>
      <c r="G94" s="25">
        <v>44</v>
      </c>
      <c r="H94" s="25">
        <v>4</v>
      </c>
      <c r="I94" s="25">
        <v>7</v>
      </c>
      <c r="J94" s="27"/>
    </row>
    <row r="95" spans="1:15" x14ac:dyDescent="0.35">
      <c r="A95" s="73"/>
      <c r="B95" s="73"/>
      <c r="C95" s="103"/>
      <c r="D95" s="30" t="s">
        <v>181</v>
      </c>
      <c r="E95" s="31" t="s">
        <v>5</v>
      </c>
      <c r="F95" s="25">
        <v>232</v>
      </c>
      <c r="G95" s="25">
        <v>27</v>
      </c>
      <c r="H95" s="25">
        <v>15</v>
      </c>
      <c r="I95" s="25">
        <v>7</v>
      </c>
      <c r="J95" s="25">
        <v>1</v>
      </c>
    </row>
    <row r="96" spans="1:15" x14ac:dyDescent="0.35">
      <c r="A96" s="73"/>
      <c r="B96" s="73"/>
      <c r="C96" s="103"/>
      <c r="D96" s="30" t="s">
        <v>181</v>
      </c>
      <c r="E96" s="31" t="s">
        <v>6</v>
      </c>
      <c r="F96" s="25">
        <v>81</v>
      </c>
      <c r="G96" s="25">
        <v>25</v>
      </c>
      <c r="H96" s="25">
        <v>2</v>
      </c>
      <c r="I96" s="27"/>
      <c r="J96" s="27"/>
      <c r="K96" s="2">
        <f>SUM(F91:F96)</f>
        <v>1002</v>
      </c>
      <c r="L96" s="2">
        <f t="shared" ref="L96:O96" si="6">SUM(G91:G96)</f>
        <v>198</v>
      </c>
      <c r="M96" s="2">
        <f t="shared" si="6"/>
        <v>46</v>
      </c>
      <c r="N96" s="2">
        <f t="shared" si="6"/>
        <v>30</v>
      </c>
      <c r="O96" s="2">
        <f t="shared" si="6"/>
        <v>1</v>
      </c>
    </row>
    <row r="97" spans="1:15" x14ac:dyDescent="0.35">
      <c r="A97" s="122" t="s">
        <v>412</v>
      </c>
      <c r="B97" s="122" t="s">
        <v>413</v>
      </c>
      <c r="C97" s="123">
        <v>3297</v>
      </c>
      <c r="D97" s="30" t="s">
        <v>182</v>
      </c>
      <c r="E97" s="31" t="s">
        <v>17</v>
      </c>
      <c r="F97" s="21">
        <v>54</v>
      </c>
      <c r="G97" s="21">
        <v>29</v>
      </c>
      <c r="H97" s="21">
        <v>4</v>
      </c>
      <c r="I97" s="21">
        <v>18</v>
      </c>
      <c r="J97" s="21">
        <v>1</v>
      </c>
    </row>
    <row r="98" spans="1:15" x14ac:dyDescent="0.35">
      <c r="A98" s="124"/>
      <c r="B98" s="124"/>
      <c r="C98" s="125"/>
      <c r="D98" s="30" t="s">
        <v>182</v>
      </c>
      <c r="E98" s="31" t="s">
        <v>2</v>
      </c>
      <c r="F98" s="21">
        <v>209</v>
      </c>
      <c r="G98" s="21">
        <v>77</v>
      </c>
      <c r="H98" s="21">
        <v>12</v>
      </c>
      <c r="I98" s="21">
        <v>6</v>
      </c>
      <c r="J98" s="26"/>
    </row>
    <row r="99" spans="1:15" x14ac:dyDescent="0.35">
      <c r="A99" s="124"/>
      <c r="B99" s="124"/>
      <c r="C99" s="125"/>
      <c r="D99" s="30" t="s">
        <v>182</v>
      </c>
      <c r="E99" s="31" t="s">
        <v>3</v>
      </c>
      <c r="F99" s="21">
        <v>149</v>
      </c>
      <c r="G99" s="21">
        <v>30</v>
      </c>
      <c r="H99" s="26"/>
      <c r="I99" s="21">
        <v>3</v>
      </c>
      <c r="J99" s="26"/>
    </row>
    <row r="100" spans="1:15" x14ac:dyDescent="0.35">
      <c r="A100" s="124"/>
      <c r="B100" s="124"/>
      <c r="C100" s="125"/>
      <c r="D100" s="30" t="s">
        <v>182</v>
      </c>
      <c r="E100" s="31" t="s">
        <v>4</v>
      </c>
      <c r="F100" s="21">
        <v>131</v>
      </c>
      <c r="G100" s="21">
        <v>12</v>
      </c>
      <c r="H100" s="21">
        <v>7</v>
      </c>
      <c r="I100" s="21">
        <v>4</v>
      </c>
      <c r="J100" s="26"/>
    </row>
    <row r="101" spans="1:15" x14ac:dyDescent="0.35">
      <c r="A101" s="124"/>
      <c r="B101" s="124"/>
      <c r="C101" s="125"/>
      <c r="D101" s="30" t="s">
        <v>182</v>
      </c>
      <c r="E101" s="31" t="s">
        <v>5</v>
      </c>
      <c r="F101" s="21">
        <v>136</v>
      </c>
      <c r="G101" s="21">
        <v>24</v>
      </c>
      <c r="H101" s="21">
        <v>4</v>
      </c>
      <c r="I101" s="21">
        <v>6</v>
      </c>
      <c r="J101" s="26"/>
    </row>
    <row r="102" spans="1:15" x14ac:dyDescent="0.35">
      <c r="A102" s="124"/>
      <c r="B102" s="124"/>
      <c r="C102" s="125"/>
      <c r="D102" s="30" t="s">
        <v>182</v>
      </c>
      <c r="E102" s="31" t="s">
        <v>6</v>
      </c>
      <c r="F102" s="21">
        <v>145</v>
      </c>
      <c r="G102" s="21">
        <v>14</v>
      </c>
      <c r="H102" s="21">
        <v>2</v>
      </c>
      <c r="I102" s="21">
        <v>6</v>
      </c>
      <c r="J102" s="26"/>
    </row>
    <row r="103" spans="1:15" x14ac:dyDescent="0.35">
      <c r="A103" s="124"/>
      <c r="B103" s="124"/>
      <c r="C103" s="125"/>
      <c r="D103" s="30" t="s">
        <v>182</v>
      </c>
      <c r="E103" s="31" t="s">
        <v>7</v>
      </c>
      <c r="F103" s="21">
        <v>170</v>
      </c>
      <c r="G103" s="21">
        <v>47</v>
      </c>
      <c r="H103" s="21">
        <v>1</v>
      </c>
      <c r="I103" s="21">
        <v>5</v>
      </c>
      <c r="J103" s="21">
        <v>1</v>
      </c>
      <c r="K103" s="2">
        <f>SUM(F97:F103)</f>
        <v>994</v>
      </c>
      <c r="L103" s="2">
        <f>SUM(G97:G103)</f>
        <v>233</v>
      </c>
      <c r="M103" s="2">
        <f>SUM(H97:H103)</f>
        <v>30</v>
      </c>
      <c r="N103" s="2">
        <f>SUM(I97:I103)</f>
        <v>48</v>
      </c>
      <c r="O103" s="2">
        <f>SUM(J97:J103)</f>
        <v>2</v>
      </c>
    </row>
    <row r="104" spans="1:15" x14ac:dyDescent="0.35">
      <c r="A104" s="101" t="s">
        <v>414</v>
      </c>
      <c r="B104" s="101" t="s">
        <v>415</v>
      </c>
      <c r="C104" s="102">
        <v>3326</v>
      </c>
      <c r="D104" s="30" t="s">
        <v>183</v>
      </c>
      <c r="E104" s="31" t="s">
        <v>17</v>
      </c>
      <c r="F104" s="25">
        <v>103</v>
      </c>
      <c r="G104" s="25">
        <v>43</v>
      </c>
      <c r="H104" s="25">
        <v>15</v>
      </c>
      <c r="I104" s="25">
        <v>4</v>
      </c>
      <c r="J104" s="27"/>
    </row>
    <row r="105" spans="1:15" x14ac:dyDescent="0.35">
      <c r="A105" s="73"/>
      <c r="B105" s="73"/>
      <c r="C105" s="103"/>
      <c r="D105" s="30" t="s">
        <v>183</v>
      </c>
      <c r="E105" s="31" t="s">
        <v>2</v>
      </c>
      <c r="F105" s="25">
        <v>103</v>
      </c>
      <c r="G105" s="25">
        <v>17</v>
      </c>
      <c r="H105" s="25">
        <v>6</v>
      </c>
      <c r="I105" s="25">
        <v>2</v>
      </c>
      <c r="J105" s="27"/>
    </row>
    <row r="106" spans="1:15" x14ac:dyDescent="0.35">
      <c r="A106" s="73"/>
      <c r="B106" s="73"/>
      <c r="C106" s="103"/>
      <c r="D106" s="30" t="s">
        <v>183</v>
      </c>
      <c r="E106" s="31" t="s">
        <v>3</v>
      </c>
      <c r="F106" s="25">
        <v>181</v>
      </c>
      <c r="G106" s="25">
        <v>9</v>
      </c>
      <c r="H106" s="27"/>
      <c r="I106" s="25">
        <v>4</v>
      </c>
      <c r="J106" s="27"/>
    </row>
    <row r="107" spans="1:15" x14ac:dyDescent="0.35">
      <c r="A107" s="73"/>
      <c r="B107" s="73"/>
      <c r="C107" s="103"/>
      <c r="D107" s="30" t="s">
        <v>183</v>
      </c>
      <c r="E107" s="31" t="s">
        <v>4</v>
      </c>
      <c r="F107" s="25">
        <v>116</v>
      </c>
      <c r="G107" s="25">
        <v>31</v>
      </c>
      <c r="H107" s="25">
        <v>2</v>
      </c>
      <c r="I107" s="25">
        <v>5</v>
      </c>
      <c r="J107" s="27"/>
    </row>
    <row r="108" spans="1:15" x14ac:dyDescent="0.35">
      <c r="A108" s="73"/>
      <c r="B108" s="73"/>
      <c r="C108" s="103"/>
      <c r="D108" s="30" t="s">
        <v>183</v>
      </c>
      <c r="E108" s="31" t="s">
        <v>5</v>
      </c>
      <c r="F108" s="25">
        <v>258</v>
      </c>
      <c r="G108" s="25">
        <v>29</v>
      </c>
      <c r="H108" s="25">
        <v>2</v>
      </c>
      <c r="I108" s="25">
        <v>5</v>
      </c>
      <c r="J108" s="27"/>
    </row>
    <row r="109" spans="1:15" x14ac:dyDescent="0.35">
      <c r="A109" s="73"/>
      <c r="B109" s="73"/>
      <c r="C109" s="103"/>
      <c r="D109" s="30" t="s">
        <v>183</v>
      </c>
      <c r="E109" s="31" t="s">
        <v>6</v>
      </c>
      <c r="F109" s="25">
        <v>103</v>
      </c>
      <c r="G109" s="25">
        <v>19</v>
      </c>
      <c r="H109" s="25">
        <v>2</v>
      </c>
      <c r="I109" s="25">
        <v>2</v>
      </c>
      <c r="J109" s="25">
        <v>1</v>
      </c>
    </row>
    <row r="110" spans="1:15" x14ac:dyDescent="0.35">
      <c r="A110" s="73"/>
      <c r="B110" s="73"/>
      <c r="C110" s="103"/>
      <c r="D110" s="30" t="s">
        <v>183</v>
      </c>
      <c r="E110" s="31" t="s">
        <v>7</v>
      </c>
      <c r="F110" s="25">
        <v>97</v>
      </c>
      <c r="G110" s="25">
        <v>24</v>
      </c>
      <c r="H110" s="25">
        <v>6</v>
      </c>
      <c r="I110" s="25">
        <v>4</v>
      </c>
      <c r="J110" s="27"/>
    </row>
    <row r="111" spans="1:15" x14ac:dyDescent="0.35">
      <c r="A111" s="73"/>
      <c r="B111" s="73"/>
      <c r="C111" s="103"/>
      <c r="D111" s="30" t="s">
        <v>183</v>
      </c>
      <c r="E111" s="31" t="s">
        <v>8</v>
      </c>
      <c r="F111" s="25">
        <v>136</v>
      </c>
      <c r="G111" s="25">
        <v>30</v>
      </c>
      <c r="H111" s="27"/>
      <c r="I111" s="27"/>
      <c r="J111" s="27"/>
    </row>
    <row r="112" spans="1:15" x14ac:dyDescent="0.35">
      <c r="A112" s="73"/>
      <c r="B112" s="73"/>
      <c r="C112" s="103"/>
      <c r="D112" s="30" t="s">
        <v>183</v>
      </c>
      <c r="E112" s="31" t="s">
        <v>9</v>
      </c>
      <c r="F112" s="25">
        <v>26</v>
      </c>
      <c r="G112" s="25">
        <v>4</v>
      </c>
      <c r="H112" s="25">
        <v>6</v>
      </c>
      <c r="I112" s="27"/>
      <c r="J112" s="27"/>
    </row>
    <row r="113" spans="1:15" x14ac:dyDescent="0.35">
      <c r="A113" s="73"/>
      <c r="B113" s="73"/>
      <c r="C113" s="103"/>
      <c r="D113" s="30" t="s">
        <v>183</v>
      </c>
      <c r="E113" s="31" t="s">
        <v>11</v>
      </c>
      <c r="F113" s="25">
        <v>64</v>
      </c>
      <c r="G113" s="25">
        <v>2</v>
      </c>
      <c r="H113" s="27"/>
      <c r="I113" s="25">
        <v>2</v>
      </c>
      <c r="J113" s="27"/>
      <c r="K113" s="2">
        <f>SUM(F104:F113)</f>
        <v>1187</v>
      </c>
      <c r="L113" s="2">
        <f>SUM(G104:G113)</f>
        <v>208</v>
      </c>
      <c r="M113" s="2">
        <f>SUM(H104:H113)</f>
        <v>39</v>
      </c>
      <c r="N113" s="2">
        <f>SUM(I104:I113)</f>
        <v>28</v>
      </c>
      <c r="O113" s="2">
        <f t="shared" ref="O113" si="7">SUM(J104:J113)</f>
        <v>1</v>
      </c>
    </row>
    <row r="114" spans="1:15" x14ac:dyDescent="0.35">
      <c r="A114" s="122" t="s">
        <v>416</v>
      </c>
      <c r="B114" s="122" t="s">
        <v>417</v>
      </c>
      <c r="C114" s="123">
        <v>2068</v>
      </c>
      <c r="D114" s="30" t="s">
        <v>184</v>
      </c>
      <c r="E114" s="31" t="s">
        <v>17</v>
      </c>
      <c r="F114" s="21">
        <v>78</v>
      </c>
      <c r="G114" s="21">
        <v>4</v>
      </c>
      <c r="H114" s="21">
        <v>3</v>
      </c>
      <c r="I114" s="21">
        <v>1</v>
      </c>
      <c r="J114" s="26"/>
    </row>
    <row r="115" spans="1:15" x14ac:dyDescent="0.35">
      <c r="A115" s="124"/>
      <c r="B115" s="124"/>
      <c r="C115" s="125"/>
      <c r="D115" s="30" t="s">
        <v>184</v>
      </c>
      <c r="E115" s="31" t="s">
        <v>2</v>
      </c>
      <c r="F115" s="21">
        <v>77</v>
      </c>
      <c r="G115" s="21">
        <v>25</v>
      </c>
      <c r="H115" s="26"/>
      <c r="I115" s="21">
        <v>4</v>
      </c>
      <c r="J115" s="26"/>
    </row>
    <row r="116" spans="1:15" x14ac:dyDescent="0.35">
      <c r="A116" s="124"/>
      <c r="B116" s="124"/>
      <c r="C116" s="125"/>
      <c r="D116" s="30" t="s">
        <v>184</v>
      </c>
      <c r="E116" s="31" t="s">
        <v>3</v>
      </c>
      <c r="F116" s="21">
        <v>95</v>
      </c>
      <c r="G116" s="21">
        <v>33</v>
      </c>
      <c r="H116" s="26"/>
      <c r="I116" s="21">
        <v>3</v>
      </c>
      <c r="J116" s="21">
        <v>1</v>
      </c>
    </row>
    <row r="117" spans="1:15" x14ac:dyDescent="0.35">
      <c r="A117" s="124"/>
      <c r="B117" s="124"/>
      <c r="C117" s="125"/>
      <c r="D117" s="30" t="s">
        <v>184</v>
      </c>
      <c r="E117" s="31" t="s">
        <v>4</v>
      </c>
      <c r="F117" s="21">
        <v>83</v>
      </c>
      <c r="G117" s="21">
        <v>24</v>
      </c>
      <c r="H117" s="21">
        <v>1</v>
      </c>
      <c r="I117" s="21">
        <v>1</v>
      </c>
      <c r="J117" s="26"/>
    </row>
    <row r="118" spans="1:15" x14ac:dyDescent="0.35">
      <c r="A118" s="124"/>
      <c r="B118" s="124"/>
      <c r="C118" s="125"/>
      <c r="D118" s="30" t="s">
        <v>184</v>
      </c>
      <c r="E118" s="31" t="s">
        <v>5</v>
      </c>
      <c r="F118" s="21">
        <v>90</v>
      </c>
      <c r="G118" s="21">
        <v>14</v>
      </c>
      <c r="H118" s="21">
        <v>5</v>
      </c>
      <c r="I118" s="21">
        <v>3</v>
      </c>
      <c r="J118" s="21">
        <v>1</v>
      </c>
    </row>
    <row r="119" spans="1:15" x14ac:dyDescent="0.35">
      <c r="A119" s="124"/>
      <c r="B119" s="124"/>
      <c r="C119" s="125"/>
      <c r="D119" s="30" t="s">
        <v>184</v>
      </c>
      <c r="E119" s="31" t="s">
        <v>6</v>
      </c>
      <c r="F119" s="21">
        <v>108</v>
      </c>
      <c r="G119" s="21">
        <v>19</v>
      </c>
      <c r="H119" s="21">
        <v>6</v>
      </c>
      <c r="I119" s="21">
        <v>2</v>
      </c>
      <c r="J119" s="26"/>
    </row>
    <row r="120" spans="1:15" x14ac:dyDescent="0.35">
      <c r="A120" s="124"/>
      <c r="B120" s="124"/>
      <c r="C120" s="125"/>
      <c r="D120" s="30" t="s">
        <v>184</v>
      </c>
      <c r="E120" s="31" t="s">
        <v>7</v>
      </c>
      <c r="F120" s="21">
        <v>109</v>
      </c>
      <c r="G120" s="21">
        <v>9</v>
      </c>
      <c r="H120" s="21">
        <v>4</v>
      </c>
      <c r="I120" s="26"/>
      <c r="J120" s="21">
        <v>1</v>
      </c>
    </row>
    <row r="121" spans="1:15" x14ac:dyDescent="0.35">
      <c r="A121" s="124"/>
      <c r="B121" s="124"/>
      <c r="C121" s="125"/>
      <c r="D121" s="30" t="s">
        <v>184</v>
      </c>
      <c r="E121" s="31" t="s">
        <v>8</v>
      </c>
      <c r="F121" s="21">
        <v>152</v>
      </c>
      <c r="G121" s="21">
        <v>10</v>
      </c>
      <c r="H121" s="26"/>
      <c r="I121" s="21">
        <v>2</v>
      </c>
      <c r="J121" s="26"/>
    </row>
    <row r="122" spans="1:15" x14ac:dyDescent="0.35">
      <c r="A122" s="124"/>
      <c r="B122" s="124"/>
      <c r="C122" s="125"/>
      <c r="D122" s="30" t="s">
        <v>184</v>
      </c>
      <c r="E122" s="31" t="s">
        <v>9</v>
      </c>
      <c r="F122" s="21">
        <v>171</v>
      </c>
      <c r="G122" s="21">
        <v>19</v>
      </c>
      <c r="H122" s="26"/>
      <c r="I122" s="21">
        <v>2</v>
      </c>
      <c r="J122" s="21">
        <v>1</v>
      </c>
      <c r="K122" s="2">
        <f>SUM(F114:F122)</f>
        <v>963</v>
      </c>
      <c r="L122" s="2">
        <f t="shared" ref="L122:O122" si="8">SUM(G114:G122)</f>
        <v>157</v>
      </c>
      <c r="M122" s="2">
        <f t="shared" si="8"/>
        <v>19</v>
      </c>
      <c r="N122" s="2">
        <f t="shared" si="8"/>
        <v>18</v>
      </c>
      <c r="O122" s="2">
        <f t="shared" si="8"/>
        <v>4</v>
      </c>
    </row>
    <row r="123" spans="1:15" x14ac:dyDescent="0.35">
      <c r="A123" s="101" t="s">
        <v>418</v>
      </c>
      <c r="B123" s="101" t="s">
        <v>419</v>
      </c>
      <c r="C123" s="102">
        <v>1764</v>
      </c>
      <c r="D123" s="30" t="s">
        <v>185</v>
      </c>
      <c r="E123" s="31" t="s">
        <v>17</v>
      </c>
      <c r="F123" s="25">
        <v>136</v>
      </c>
      <c r="G123" s="25">
        <v>20</v>
      </c>
      <c r="H123" s="25">
        <v>3</v>
      </c>
      <c r="I123" s="25">
        <v>3</v>
      </c>
      <c r="J123" s="27"/>
    </row>
    <row r="124" spans="1:15" x14ac:dyDescent="0.35">
      <c r="A124" s="73"/>
      <c r="B124" s="73"/>
      <c r="C124" s="103"/>
      <c r="D124" s="30" t="s">
        <v>185</v>
      </c>
      <c r="E124" s="31" t="s">
        <v>2</v>
      </c>
      <c r="F124" s="25">
        <v>58</v>
      </c>
      <c r="G124" s="25">
        <v>29</v>
      </c>
      <c r="H124" s="25">
        <v>4</v>
      </c>
      <c r="I124" s="25">
        <v>2</v>
      </c>
      <c r="J124" s="27"/>
    </row>
    <row r="125" spans="1:15" x14ac:dyDescent="0.35">
      <c r="A125" s="73"/>
      <c r="B125" s="73"/>
      <c r="C125" s="103"/>
      <c r="D125" s="30" t="s">
        <v>185</v>
      </c>
      <c r="E125" s="31" t="s">
        <v>3</v>
      </c>
      <c r="F125" s="25">
        <v>92</v>
      </c>
      <c r="G125" s="25">
        <v>7</v>
      </c>
      <c r="H125" s="27"/>
      <c r="I125" s="25">
        <v>2</v>
      </c>
      <c r="J125" s="27"/>
    </row>
    <row r="126" spans="1:15" x14ac:dyDescent="0.35">
      <c r="A126" s="73"/>
      <c r="B126" s="73"/>
      <c r="C126" s="103"/>
      <c r="D126" s="30" t="s">
        <v>185</v>
      </c>
      <c r="E126" s="31" t="s">
        <v>4</v>
      </c>
      <c r="F126" s="25">
        <v>130</v>
      </c>
      <c r="G126" s="25">
        <v>26</v>
      </c>
      <c r="H126" s="25">
        <v>23</v>
      </c>
      <c r="I126" s="27"/>
      <c r="J126" s="27"/>
    </row>
    <row r="127" spans="1:15" x14ac:dyDescent="0.35">
      <c r="A127" s="73"/>
      <c r="B127" s="73"/>
      <c r="C127" s="103"/>
      <c r="D127" s="30" t="s">
        <v>185</v>
      </c>
      <c r="E127" s="31" t="s">
        <v>5</v>
      </c>
      <c r="F127" s="25">
        <v>77</v>
      </c>
      <c r="G127" s="25">
        <v>7</v>
      </c>
      <c r="H127" s="27"/>
      <c r="I127" s="25">
        <v>6</v>
      </c>
      <c r="J127" s="27"/>
    </row>
    <row r="128" spans="1:15" x14ac:dyDescent="0.35">
      <c r="A128" s="73"/>
      <c r="B128" s="73"/>
      <c r="C128" s="103"/>
      <c r="D128" s="30" t="s">
        <v>181</v>
      </c>
      <c r="E128" s="31" t="s">
        <v>7</v>
      </c>
      <c r="F128" s="25">
        <v>130</v>
      </c>
      <c r="G128" s="25">
        <v>20</v>
      </c>
      <c r="H128" s="25">
        <v>4</v>
      </c>
      <c r="I128" s="27"/>
      <c r="J128" s="27"/>
      <c r="K128" s="2">
        <f>SUM(F123:F128)</f>
        <v>623</v>
      </c>
      <c r="L128" s="2">
        <f t="shared" ref="L128:O128" si="9">SUM(G123:G128)</f>
        <v>109</v>
      </c>
      <c r="M128" s="2">
        <f t="shared" si="9"/>
        <v>34</v>
      </c>
      <c r="N128" s="2">
        <f t="shared" si="9"/>
        <v>13</v>
      </c>
      <c r="O128" s="2">
        <f t="shared" si="9"/>
        <v>0</v>
      </c>
    </row>
    <row r="129" spans="1:15" x14ac:dyDescent="0.35">
      <c r="A129" s="122" t="s">
        <v>420</v>
      </c>
      <c r="B129" s="122" t="s">
        <v>421</v>
      </c>
      <c r="C129" s="123">
        <v>1756</v>
      </c>
      <c r="D129" s="30" t="s">
        <v>186</v>
      </c>
      <c r="E129" s="31" t="s">
        <v>17</v>
      </c>
      <c r="F129" s="21">
        <v>264</v>
      </c>
      <c r="G129" s="21">
        <v>36</v>
      </c>
      <c r="H129" s="21">
        <v>16</v>
      </c>
      <c r="I129" s="21">
        <v>3</v>
      </c>
      <c r="J129" s="21">
        <v>1</v>
      </c>
    </row>
    <row r="130" spans="1:15" x14ac:dyDescent="0.35">
      <c r="A130" s="124"/>
      <c r="B130" s="124"/>
      <c r="C130" s="125"/>
      <c r="D130" s="30" t="s">
        <v>186</v>
      </c>
      <c r="E130" s="31" t="s">
        <v>2</v>
      </c>
      <c r="F130" s="21">
        <v>170</v>
      </c>
      <c r="G130" s="21">
        <v>30</v>
      </c>
      <c r="H130" s="21">
        <v>1</v>
      </c>
      <c r="I130" s="21">
        <v>1</v>
      </c>
      <c r="J130" s="26"/>
    </row>
    <row r="131" spans="1:15" x14ac:dyDescent="0.35">
      <c r="A131" s="124"/>
      <c r="B131" s="124"/>
      <c r="C131" s="125"/>
      <c r="D131" s="30" t="s">
        <v>186</v>
      </c>
      <c r="E131" s="31" t="s">
        <v>3</v>
      </c>
      <c r="F131" s="21">
        <v>41</v>
      </c>
      <c r="G131" s="21">
        <v>4</v>
      </c>
      <c r="H131" s="21">
        <v>3</v>
      </c>
      <c r="I131" s="26"/>
      <c r="J131" s="26"/>
    </row>
    <row r="132" spans="1:15" x14ac:dyDescent="0.35">
      <c r="A132" s="124"/>
      <c r="B132" s="124"/>
      <c r="C132" s="125"/>
      <c r="D132" s="30" t="s">
        <v>186</v>
      </c>
      <c r="E132" s="31" t="s">
        <v>4</v>
      </c>
      <c r="F132" s="21">
        <v>65</v>
      </c>
      <c r="G132" s="21">
        <v>9</v>
      </c>
      <c r="H132" s="21">
        <v>3</v>
      </c>
      <c r="I132" s="21">
        <v>2</v>
      </c>
      <c r="J132" s="26"/>
    </row>
    <row r="133" spans="1:15" x14ac:dyDescent="0.35">
      <c r="A133" s="124"/>
      <c r="B133" s="124"/>
      <c r="C133" s="125"/>
      <c r="D133" s="30" t="s">
        <v>186</v>
      </c>
      <c r="E133" s="31" t="s">
        <v>5</v>
      </c>
      <c r="F133" s="21">
        <v>48</v>
      </c>
      <c r="G133" s="21">
        <v>4</v>
      </c>
      <c r="H133" s="26"/>
      <c r="I133" s="21">
        <v>4</v>
      </c>
      <c r="J133" s="26"/>
    </row>
    <row r="134" spans="1:15" x14ac:dyDescent="0.35">
      <c r="A134" s="124"/>
      <c r="B134" s="124"/>
      <c r="C134" s="125"/>
      <c r="D134" s="30" t="s">
        <v>186</v>
      </c>
      <c r="E134" s="31" t="s">
        <v>6</v>
      </c>
      <c r="F134" s="21">
        <v>157</v>
      </c>
      <c r="G134" s="21">
        <v>28</v>
      </c>
      <c r="H134" s="26"/>
      <c r="I134" s="21">
        <v>7</v>
      </c>
      <c r="J134" s="21">
        <v>1</v>
      </c>
      <c r="K134" s="2">
        <f>SUM(F129:F134)</f>
        <v>745</v>
      </c>
      <c r="L134" s="2">
        <f t="shared" ref="L134:O134" si="10">SUM(G129:G134)</f>
        <v>111</v>
      </c>
      <c r="M134" s="2">
        <f t="shared" si="10"/>
        <v>23</v>
      </c>
      <c r="N134" s="2">
        <f t="shared" si="10"/>
        <v>17</v>
      </c>
      <c r="O134" s="2">
        <f t="shared" si="10"/>
        <v>2</v>
      </c>
    </row>
    <row r="135" spans="1:15" x14ac:dyDescent="0.35">
      <c r="A135" s="101" t="s">
        <v>422</v>
      </c>
      <c r="B135" s="101" t="s">
        <v>423</v>
      </c>
      <c r="C135" s="102">
        <v>1634</v>
      </c>
      <c r="D135" s="30" t="s">
        <v>187</v>
      </c>
      <c r="E135" s="31" t="s">
        <v>17</v>
      </c>
      <c r="F135" s="25">
        <v>149</v>
      </c>
      <c r="G135" s="25">
        <v>29</v>
      </c>
      <c r="H135" s="25">
        <v>15</v>
      </c>
      <c r="I135" s="25">
        <v>22</v>
      </c>
      <c r="J135" s="27"/>
    </row>
    <row r="136" spans="1:15" x14ac:dyDescent="0.35">
      <c r="A136" s="73"/>
      <c r="B136" s="73"/>
      <c r="C136" s="103"/>
      <c r="D136" s="30" t="s">
        <v>187</v>
      </c>
      <c r="E136" s="31" t="s">
        <v>2</v>
      </c>
      <c r="F136" s="25">
        <v>244</v>
      </c>
      <c r="G136" s="25">
        <v>87</v>
      </c>
      <c r="H136" s="25">
        <v>38</v>
      </c>
      <c r="I136" s="25">
        <v>2</v>
      </c>
      <c r="J136" s="27"/>
    </row>
    <row r="137" spans="1:15" x14ac:dyDescent="0.35">
      <c r="A137" s="73"/>
      <c r="B137" s="73"/>
      <c r="C137" s="103"/>
      <c r="D137" s="30" t="s">
        <v>187</v>
      </c>
      <c r="E137" s="31" t="s">
        <v>3</v>
      </c>
      <c r="F137" s="25">
        <v>117</v>
      </c>
      <c r="G137" s="25">
        <v>19</v>
      </c>
      <c r="H137" s="25">
        <v>4</v>
      </c>
      <c r="I137" s="25">
        <v>7</v>
      </c>
      <c r="J137" s="27"/>
    </row>
    <row r="138" spans="1:15" x14ac:dyDescent="0.35">
      <c r="A138" s="73"/>
      <c r="B138" s="73"/>
      <c r="C138" s="103"/>
      <c r="D138" s="30" t="s">
        <v>187</v>
      </c>
      <c r="E138" s="31" t="s">
        <v>4</v>
      </c>
      <c r="F138" s="25">
        <v>118</v>
      </c>
      <c r="G138" s="25">
        <v>29</v>
      </c>
      <c r="H138" s="25">
        <v>3</v>
      </c>
      <c r="I138" s="25">
        <v>3</v>
      </c>
      <c r="J138" s="27"/>
    </row>
    <row r="139" spans="1:15" x14ac:dyDescent="0.35">
      <c r="A139" s="73"/>
      <c r="B139" s="73"/>
      <c r="C139" s="103"/>
      <c r="D139" s="30" t="s">
        <v>187</v>
      </c>
      <c r="E139" s="31" t="s">
        <v>5</v>
      </c>
      <c r="F139" s="25">
        <v>91</v>
      </c>
      <c r="G139" s="25">
        <v>6</v>
      </c>
      <c r="H139" s="25">
        <v>13</v>
      </c>
      <c r="I139" s="25">
        <v>4</v>
      </c>
      <c r="J139" s="27"/>
    </row>
    <row r="140" spans="1:15" x14ac:dyDescent="0.35">
      <c r="A140" s="73"/>
      <c r="B140" s="73"/>
      <c r="C140" s="103"/>
      <c r="D140" s="30" t="s">
        <v>187</v>
      </c>
      <c r="E140" s="31" t="s">
        <v>6</v>
      </c>
      <c r="F140" s="25">
        <v>40</v>
      </c>
      <c r="G140" s="25">
        <v>5</v>
      </c>
      <c r="H140" s="27"/>
      <c r="I140" s="25">
        <v>14</v>
      </c>
      <c r="J140" s="27"/>
      <c r="K140" s="2">
        <f>SUM(F135:F140)</f>
        <v>759</v>
      </c>
      <c r="L140" s="2">
        <f t="shared" ref="L140:O140" si="11">SUM(G135:G140)</f>
        <v>175</v>
      </c>
      <c r="M140" s="2">
        <f t="shared" si="11"/>
        <v>73</v>
      </c>
      <c r="N140" s="2">
        <f t="shared" si="11"/>
        <v>52</v>
      </c>
      <c r="O140" s="2">
        <f t="shared" si="11"/>
        <v>0</v>
      </c>
    </row>
    <row r="141" spans="1:15" x14ac:dyDescent="0.35">
      <c r="A141" s="120"/>
      <c r="B141" s="120" t="s">
        <v>723</v>
      </c>
      <c r="C141" s="121">
        <f>SUM(C5:C135)</f>
        <v>45108</v>
      </c>
      <c r="D141" s="323" t="s">
        <v>231</v>
      </c>
      <c r="E141" s="324"/>
      <c r="F141" s="32">
        <f>SUM(F5:F140)</f>
        <v>16289</v>
      </c>
      <c r="G141" s="32">
        <f>SUM(G5:G140)</f>
        <v>4402</v>
      </c>
      <c r="H141" s="32">
        <f>SUM(H5:H140)</f>
        <v>917</v>
      </c>
      <c r="I141" s="32">
        <f>SUM(I5:I140)</f>
        <v>696</v>
      </c>
      <c r="J141" s="32">
        <f>SUM(J5:J140)</f>
        <v>31</v>
      </c>
    </row>
    <row r="142" spans="1:15" x14ac:dyDescent="0.35">
      <c r="A142" s="315" t="s">
        <v>745</v>
      </c>
      <c r="B142" s="315"/>
      <c r="C142" s="121">
        <f>SUM(C141,F141,G141,H141,I141,J141)</f>
        <v>67443</v>
      </c>
    </row>
  </sheetData>
  <mergeCells count="7">
    <mergeCell ref="A142:B142"/>
    <mergeCell ref="D141:E141"/>
    <mergeCell ref="D1:J1"/>
    <mergeCell ref="D2:J2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"/>
  <sheetViews>
    <sheetView topLeftCell="A43" workbookViewId="0">
      <selection activeCell="D16" sqref="D16"/>
    </sheetView>
  </sheetViews>
  <sheetFormatPr defaultRowHeight="21" x14ac:dyDescent="0.35"/>
  <cols>
    <col min="1" max="1" width="14.85546875" style="2" customWidth="1"/>
    <col min="2" max="2" width="18.42578125" style="2" customWidth="1"/>
    <col min="3" max="3" width="21.85546875" style="95" customWidth="1"/>
    <col min="4" max="4" width="13.42578125" style="2" customWidth="1"/>
    <col min="5" max="5" width="9.140625" style="22"/>
    <col min="6" max="6" width="11.5703125" style="22" customWidth="1"/>
    <col min="7" max="7" width="11" style="22" customWidth="1"/>
    <col min="8" max="8" width="10.28515625" style="22" customWidth="1"/>
    <col min="9" max="9" width="19.28515625" style="22" customWidth="1"/>
    <col min="10" max="10" width="13.85546875" style="22" customWidth="1"/>
    <col min="11" max="16384" width="9.140625" style="2"/>
  </cols>
  <sheetData>
    <row r="1" spans="1:15" x14ac:dyDescent="0.35">
      <c r="A1" s="302" t="s">
        <v>746</v>
      </c>
      <c r="B1" s="302"/>
      <c r="C1" s="302"/>
      <c r="D1" s="317" t="s">
        <v>236</v>
      </c>
      <c r="E1" s="318"/>
      <c r="F1" s="318"/>
      <c r="G1" s="318"/>
      <c r="H1" s="318"/>
      <c r="I1" s="318"/>
      <c r="J1" s="318"/>
    </row>
    <row r="2" spans="1:15" x14ac:dyDescent="0.35">
      <c r="A2" s="302" t="s">
        <v>720</v>
      </c>
      <c r="B2" s="302"/>
      <c r="C2" s="302"/>
      <c r="D2" s="317" t="s">
        <v>230</v>
      </c>
      <c r="E2" s="317"/>
      <c r="F2" s="317"/>
      <c r="G2" s="317"/>
      <c r="H2" s="317"/>
      <c r="I2" s="317"/>
      <c r="J2" s="317"/>
    </row>
    <row r="3" spans="1:15" x14ac:dyDescent="0.35">
      <c r="A3" s="91"/>
      <c r="B3" s="91"/>
      <c r="C3" s="110"/>
      <c r="D3" s="42"/>
      <c r="E3" s="42"/>
      <c r="F3" s="303" t="s">
        <v>718</v>
      </c>
      <c r="G3" s="303"/>
      <c r="H3" s="303"/>
      <c r="I3" s="303"/>
      <c r="J3" s="303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226</v>
      </c>
      <c r="J4" s="19" t="s">
        <v>221</v>
      </c>
    </row>
    <row r="5" spans="1:15" x14ac:dyDescent="0.35">
      <c r="A5" s="9" t="s">
        <v>659</v>
      </c>
      <c r="B5" s="9" t="s">
        <v>660</v>
      </c>
      <c r="C5" s="97">
        <v>2970</v>
      </c>
      <c r="D5" s="16" t="s">
        <v>188</v>
      </c>
      <c r="E5" s="17" t="s">
        <v>17</v>
      </c>
      <c r="F5" s="13">
        <v>114</v>
      </c>
      <c r="G5" s="13">
        <v>59</v>
      </c>
      <c r="H5" s="13">
        <v>14</v>
      </c>
      <c r="I5" s="15"/>
      <c r="J5" s="15"/>
    </row>
    <row r="6" spans="1:15" x14ac:dyDescent="0.35">
      <c r="A6" s="74"/>
      <c r="B6" s="74"/>
      <c r="C6" s="98"/>
      <c r="D6" s="16" t="s">
        <v>188</v>
      </c>
      <c r="E6" s="17" t="s">
        <v>2</v>
      </c>
      <c r="F6" s="13">
        <v>136</v>
      </c>
      <c r="G6" s="13">
        <v>32</v>
      </c>
      <c r="H6" s="13">
        <v>5</v>
      </c>
      <c r="I6" s="13">
        <v>10</v>
      </c>
      <c r="J6" s="13">
        <v>1</v>
      </c>
    </row>
    <row r="7" spans="1:15" x14ac:dyDescent="0.35">
      <c r="A7" s="74"/>
      <c r="B7" s="74"/>
      <c r="C7" s="98"/>
      <c r="D7" s="16" t="s">
        <v>188</v>
      </c>
      <c r="E7" s="17" t="s">
        <v>3</v>
      </c>
      <c r="F7" s="13">
        <v>76</v>
      </c>
      <c r="G7" s="13">
        <v>86</v>
      </c>
      <c r="H7" s="13">
        <v>3</v>
      </c>
      <c r="I7" s="13">
        <v>2</v>
      </c>
      <c r="J7" s="13">
        <v>1</v>
      </c>
    </row>
    <row r="8" spans="1:15" x14ac:dyDescent="0.35">
      <c r="A8" s="74"/>
      <c r="B8" s="74"/>
      <c r="C8" s="98"/>
      <c r="D8" s="16" t="s">
        <v>188</v>
      </c>
      <c r="E8" s="17" t="s">
        <v>4</v>
      </c>
      <c r="F8" s="13">
        <v>118</v>
      </c>
      <c r="G8" s="13">
        <v>22</v>
      </c>
      <c r="H8" s="13">
        <v>2</v>
      </c>
      <c r="I8" s="15"/>
      <c r="J8" s="15"/>
    </row>
    <row r="9" spans="1:15" x14ac:dyDescent="0.35">
      <c r="A9" s="74"/>
      <c r="B9" s="74"/>
      <c r="C9" s="98"/>
      <c r="D9" s="16" t="s">
        <v>188</v>
      </c>
      <c r="E9" s="17" t="s">
        <v>5</v>
      </c>
      <c r="F9" s="13">
        <v>136</v>
      </c>
      <c r="G9" s="13">
        <v>30</v>
      </c>
      <c r="H9" s="13">
        <v>2</v>
      </c>
      <c r="I9" s="13">
        <v>9</v>
      </c>
      <c r="J9" s="15"/>
    </row>
    <row r="10" spans="1:15" x14ac:dyDescent="0.35">
      <c r="A10" s="74"/>
      <c r="B10" s="74"/>
      <c r="C10" s="98"/>
      <c r="D10" s="16" t="s">
        <v>190</v>
      </c>
      <c r="E10" s="17" t="s">
        <v>7</v>
      </c>
      <c r="F10" s="13">
        <v>57</v>
      </c>
      <c r="G10" s="13">
        <v>25</v>
      </c>
      <c r="H10" s="15"/>
      <c r="I10" s="13">
        <v>6</v>
      </c>
      <c r="J10" s="15"/>
    </row>
    <row r="11" spans="1:15" x14ac:dyDescent="0.35">
      <c r="A11" s="74"/>
      <c r="B11" s="74"/>
      <c r="C11" s="98"/>
      <c r="D11" s="16" t="s">
        <v>190</v>
      </c>
      <c r="E11" s="17" t="s">
        <v>8</v>
      </c>
      <c r="F11" s="13">
        <v>116</v>
      </c>
      <c r="G11" s="13">
        <v>31</v>
      </c>
      <c r="H11" s="15"/>
      <c r="I11" s="13">
        <v>7</v>
      </c>
      <c r="J11" s="13">
        <v>1</v>
      </c>
    </row>
    <row r="12" spans="1:15" x14ac:dyDescent="0.35">
      <c r="A12" s="74"/>
      <c r="B12" s="74"/>
      <c r="C12" s="98"/>
      <c r="D12" s="16" t="s">
        <v>190</v>
      </c>
      <c r="E12" s="17" t="s">
        <v>9</v>
      </c>
      <c r="F12" s="13">
        <v>94</v>
      </c>
      <c r="G12" s="13">
        <v>5</v>
      </c>
      <c r="H12" s="13">
        <v>3</v>
      </c>
      <c r="I12" s="13">
        <v>3</v>
      </c>
      <c r="J12" s="15"/>
    </row>
    <row r="13" spans="1:15" x14ac:dyDescent="0.35">
      <c r="A13" s="74"/>
      <c r="B13" s="74"/>
      <c r="C13" s="98"/>
      <c r="D13" s="16" t="s">
        <v>189</v>
      </c>
      <c r="E13" s="17" t="s">
        <v>6</v>
      </c>
      <c r="F13" s="12">
        <v>153</v>
      </c>
      <c r="G13" s="12">
        <v>39</v>
      </c>
      <c r="H13" s="12">
        <v>5</v>
      </c>
      <c r="I13" s="12">
        <v>8</v>
      </c>
      <c r="J13" s="14"/>
      <c r="K13" s="2">
        <f>SUM(F5:F13)</f>
        <v>1000</v>
      </c>
      <c r="L13" s="2">
        <f t="shared" ref="L13:O13" si="0">SUM(G5:G13)</f>
        <v>329</v>
      </c>
      <c r="M13" s="2">
        <f t="shared" si="0"/>
        <v>34</v>
      </c>
      <c r="N13" s="2">
        <f t="shared" si="0"/>
        <v>45</v>
      </c>
      <c r="O13" s="2">
        <f t="shared" si="0"/>
        <v>3</v>
      </c>
    </row>
    <row r="14" spans="1:15" x14ac:dyDescent="0.35">
      <c r="A14" s="4" t="s">
        <v>661</v>
      </c>
      <c r="B14" s="4" t="s">
        <v>662</v>
      </c>
      <c r="C14" s="99">
        <v>1273</v>
      </c>
      <c r="D14" s="16" t="s">
        <v>189</v>
      </c>
      <c r="E14" s="17" t="s">
        <v>7</v>
      </c>
      <c r="F14" s="12">
        <v>61</v>
      </c>
      <c r="G14" s="12">
        <v>18</v>
      </c>
      <c r="H14" s="12">
        <v>5</v>
      </c>
      <c r="I14" s="12">
        <v>2</v>
      </c>
      <c r="J14" s="14"/>
    </row>
    <row r="15" spans="1:15" x14ac:dyDescent="0.35">
      <c r="A15" s="80"/>
      <c r="B15" s="80"/>
      <c r="C15" s="100"/>
      <c r="D15" s="16" t="s">
        <v>193</v>
      </c>
      <c r="E15" s="17" t="s">
        <v>17</v>
      </c>
      <c r="F15" s="12">
        <v>128</v>
      </c>
      <c r="G15" s="12">
        <v>16</v>
      </c>
      <c r="H15" s="14"/>
      <c r="I15" s="12">
        <v>5</v>
      </c>
      <c r="J15" s="14"/>
    </row>
    <row r="16" spans="1:15" x14ac:dyDescent="0.35">
      <c r="A16" s="80"/>
      <c r="B16" s="80"/>
      <c r="C16" s="100"/>
      <c r="D16" s="16" t="s">
        <v>193</v>
      </c>
      <c r="E16" s="17" t="s">
        <v>2</v>
      </c>
      <c r="F16" s="12">
        <v>97</v>
      </c>
      <c r="G16" s="12">
        <v>5</v>
      </c>
      <c r="H16" s="12">
        <v>6</v>
      </c>
      <c r="I16" s="12">
        <v>2</v>
      </c>
      <c r="J16" s="14"/>
    </row>
    <row r="17" spans="1:15" x14ac:dyDescent="0.35">
      <c r="A17" s="80"/>
      <c r="B17" s="80"/>
      <c r="C17" s="100"/>
      <c r="D17" s="16" t="s">
        <v>193</v>
      </c>
      <c r="E17" s="17" t="s">
        <v>3</v>
      </c>
      <c r="F17" s="12">
        <v>55</v>
      </c>
      <c r="G17" s="12">
        <v>16</v>
      </c>
      <c r="H17" s="12">
        <v>3</v>
      </c>
      <c r="I17" s="12">
        <v>1</v>
      </c>
      <c r="J17" s="14"/>
    </row>
    <row r="18" spans="1:15" x14ac:dyDescent="0.35">
      <c r="A18" s="80"/>
      <c r="B18" s="80"/>
      <c r="C18" s="100"/>
      <c r="D18" s="16" t="s">
        <v>188</v>
      </c>
      <c r="E18" s="17" t="s">
        <v>7</v>
      </c>
      <c r="F18" s="13">
        <v>92</v>
      </c>
      <c r="G18" s="13">
        <v>10</v>
      </c>
      <c r="H18" s="15"/>
      <c r="I18" s="13">
        <v>3</v>
      </c>
      <c r="J18" s="13">
        <v>1</v>
      </c>
    </row>
    <row r="19" spans="1:15" x14ac:dyDescent="0.35">
      <c r="A19" s="80"/>
      <c r="B19" s="80"/>
      <c r="C19" s="100"/>
      <c r="D19" s="16" t="s">
        <v>188</v>
      </c>
      <c r="E19" s="17" t="s">
        <v>8</v>
      </c>
      <c r="F19" s="13">
        <v>33</v>
      </c>
      <c r="G19" s="13">
        <v>28</v>
      </c>
      <c r="H19" s="13">
        <v>1</v>
      </c>
      <c r="I19" s="13">
        <v>2</v>
      </c>
      <c r="J19" s="15"/>
      <c r="K19" s="2">
        <f>SUM(F14:F19)</f>
        <v>466</v>
      </c>
      <c r="L19" s="2">
        <f>SUM(G14:G19)</f>
        <v>93</v>
      </c>
      <c r="M19" s="2">
        <f>SUM(H14:H19)</f>
        <v>15</v>
      </c>
      <c r="N19" s="2">
        <f>SUM(I14:I19)</f>
        <v>15</v>
      </c>
      <c r="O19" s="2">
        <f>SUM(J14:J19)</f>
        <v>1</v>
      </c>
    </row>
    <row r="20" spans="1:15" x14ac:dyDescent="0.35">
      <c r="A20" s="9" t="s">
        <v>424</v>
      </c>
      <c r="B20" s="9" t="s">
        <v>425</v>
      </c>
      <c r="C20" s="97">
        <v>1463</v>
      </c>
      <c r="D20" s="16" t="s">
        <v>190</v>
      </c>
      <c r="E20" s="17" t="s">
        <v>17</v>
      </c>
      <c r="F20" s="13">
        <v>95</v>
      </c>
      <c r="G20" s="13">
        <v>8</v>
      </c>
      <c r="H20" s="13">
        <v>2</v>
      </c>
      <c r="I20" s="13">
        <v>4</v>
      </c>
      <c r="J20" s="13">
        <v>1</v>
      </c>
    </row>
    <row r="21" spans="1:15" x14ac:dyDescent="0.35">
      <c r="A21" s="74"/>
      <c r="B21" s="74"/>
      <c r="C21" s="98"/>
      <c r="D21" s="16" t="s">
        <v>190</v>
      </c>
      <c r="E21" s="17" t="s">
        <v>2</v>
      </c>
      <c r="F21" s="13">
        <v>86</v>
      </c>
      <c r="G21" s="13">
        <v>7</v>
      </c>
      <c r="H21" s="13">
        <v>1</v>
      </c>
      <c r="I21" s="13">
        <v>4</v>
      </c>
      <c r="J21" s="15"/>
    </row>
    <row r="22" spans="1:15" x14ac:dyDescent="0.35">
      <c r="A22" s="74"/>
      <c r="B22" s="74"/>
      <c r="C22" s="98"/>
      <c r="D22" s="16" t="s">
        <v>190</v>
      </c>
      <c r="E22" s="17" t="s">
        <v>3</v>
      </c>
      <c r="F22" s="13">
        <v>34</v>
      </c>
      <c r="G22" s="13">
        <v>3</v>
      </c>
      <c r="H22" s="15"/>
      <c r="I22" s="15"/>
      <c r="J22" s="15"/>
    </row>
    <row r="23" spans="1:15" x14ac:dyDescent="0.35">
      <c r="A23" s="74"/>
      <c r="B23" s="74"/>
      <c r="C23" s="98"/>
      <c r="D23" s="16" t="s">
        <v>190</v>
      </c>
      <c r="E23" s="17" t="s">
        <v>4</v>
      </c>
      <c r="F23" s="13">
        <v>39</v>
      </c>
      <c r="G23" s="13">
        <v>12</v>
      </c>
      <c r="H23" s="13">
        <v>2</v>
      </c>
      <c r="I23" s="13">
        <v>1</v>
      </c>
      <c r="J23" s="15"/>
    </row>
    <row r="24" spans="1:15" x14ac:dyDescent="0.35">
      <c r="A24" s="74"/>
      <c r="B24" s="74"/>
      <c r="C24" s="98"/>
      <c r="D24" s="16" t="s">
        <v>190</v>
      </c>
      <c r="E24" s="17" t="s">
        <v>5</v>
      </c>
      <c r="F24" s="13">
        <v>28</v>
      </c>
      <c r="G24" s="13">
        <v>19</v>
      </c>
      <c r="H24" s="13">
        <v>2</v>
      </c>
      <c r="I24" s="13">
        <v>5</v>
      </c>
      <c r="J24" s="15"/>
    </row>
    <row r="25" spans="1:15" x14ac:dyDescent="0.35">
      <c r="A25" s="74"/>
      <c r="B25" s="74"/>
      <c r="C25" s="98"/>
      <c r="D25" s="16" t="s">
        <v>190</v>
      </c>
      <c r="E25" s="17" t="s">
        <v>6</v>
      </c>
      <c r="F25" s="13">
        <v>33</v>
      </c>
      <c r="G25" s="13">
        <v>13</v>
      </c>
      <c r="H25" s="15"/>
      <c r="I25" s="13">
        <v>2</v>
      </c>
      <c r="J25" s="15"/>
    </row>
    <row r="26" spans="1:15" x14ac:dyDescent="0.35">
      <c r="A26" s="74"/>
      <c r="B26" s="74"/>
      <c r="C26" s="98"/>
      <c r="D26" s="16" t="s">
        <v>189</v>
      </c>
      <c r="E26" s="17" t="s">
        <v>17</v>
      </c>
      <c r="F26" s="12">
        <v>87</v>
      </c>
      <c r="G26" s="12">
        <v>38</v>
      </c>
      <c r="H26" s="12">
        <v>14</v>
      </c>
      <c r="I26" s="12">
        <v>6</v>
      </c>
      <c r="J26" s="14"/>
    </row>
    <row r="27" spans="1:15" x14ac:dyDescent="0.35">
      <c r="A27" s="74"/>
      <c r="B27" s="74"/>
      <c r="C27" s="98"/>
      <c r="D27" s="16" t="s">
        <v>189</v>
      </c>
      <c r="E27" s="17" t="s">
        <v>2</v>
      </c>
      <c r="F27" s="12">
        <v>43</v>
      </c>
      <c r="G27" s="12">
        <v>10</v>
      </c>
      <c r="H27" s="12">
        <v>1</v>
      </c>
      <c r="I27" s="12">
        <v>3</v>
      </c>
      <c r="J27" s="14"/>
    </row>
    <row r="28" spans="1:15" x14ac:dyDescent="0.35">
      <c r="A28" s="74"/>
      <c r="B28" s="74"/>
      <c r="C28" s="98"/>
      <c r="D28" s="16" t="s">
        <v>189</v>
      </c>
      <c r="E28" s="17" t="s">
        <v>3</v>
      </c>
      <c r="F28" s="12">
        <v>82</v>
      </c>
      <c r="G28" s="12">
        <v>35</v>
      </c>
      <c r="H28" s="12">
        <v>9</v>
      </c>
      <c r="I28" s="12">
        <v>7</v>
      </c>
      <c r="J28" s="14"/>
    </row>
    <row r="29" spans="1:15" x14ac:dyDescent="0.35">
      <c r="A29" s="74"/>
      <c r="B29" s="74"/>
      <c r="C29" s="98"/>
      <c r="D29" s="16" t="s">
        <v>189</v>
      </c>
      <c r="E29" s="17" t="s">
        <v>4</v>
      </c>
      <c r="F29" s="12">
        <v>82</v>
      </c>
      <c r="G29" s="12">
        <v>25</v>
      </c>
      <c r="H29" s="12">
        <v>3</v>
      </c>
      <c r="I29" s="12">
        <v>2</v>
      </c>
      <c r="J29" s="12">
        <v>1</v>
      </c>
    </row>
    <row r="30" spans="1:15" x14ac:dyDescent="0.35">
      <c r="A30" s="74"/>
      <c r="B30" s="74"/>
      <c r="C30" s="98"/>
      <c r="D30" s="16" t="s">
        <v>189</v>
      </c>
      <c r="E30" s="17" t="s">
        <v>5</v>
      </c>
      <c r="F30" s="12">
        <v>56</v>
      </c>
      <c r="G30" s="12">
        <v>19</v>
      </c>
      <c r="H30" s="12">
        <v>2</v>
      </c>
      <c r="I30" s="12">
        <v>3</v>
      </c>
      <c r="J30" s="14"/>
      <c r="K30" s="2">
        <f>SUM(F20:F30)</f>
        <v>665</v>
      </c>
      <c r="L30" s="2">
        <f t="shared" ref="L30:O30" si="1">SUM(G20:G30)</f>
        <v>189</v>
      </c>
      <c r="M30" s="2">
        <f t="shared" si="1"/>
        <v>36</v>
      </c>
      <c r="N30" s="2">
        <f t="shared" si="1"/>
        <v>37</v>
      </c>
      <c r="O30" s="2">
        <f t="shared" si="1"/>
        <v>2</v>
      </c>
    </row>
    <row r="31" spans="1:15" x14ac:dyDescent="0.35">
      <c r="A31" s="4" t="s">
        <v>426</v>
      </c>
      <c r="B31" s="4" t="s">
        <v>427</v>
      </c>
      <c r="C31" s="99">
        <v>1147</v>
      </c>
      <c r="D31" s="16" t="s">
        <v>191</v>
      </c>
      <c r="E31" s="17" t="s">
        <v>17</v>
      </c>
      <c r="F31" s="12">
        <v>103</v>
      </c>
      <c r="G31" s="12">
        <v>16</v>
      </c>
      <c r="H31" s="12">
        <v>1</v>
      </c>
      <c r="I31" s="12">
        <v>2</v>
      </c>
      <c r="J31" s="238"/>
    </row>
    <row r="32" spans="1:15" x14ac:dyDescent="0.35">
      <c r="A32" s="74"/>
      <c r="B32" s="74"/>
      <c r="C32" s="98"/>
      <c r="D32" s="16" t="s">
        <v>191</v>
      </c>
      <c r="E32" s="17" t="s">
        <v>2</v>
      </c>
      <c r="F32" s="12">
        <v>88</v>
      </c>
      <c r="G32" s="12">
        <v>11</v>
      </c>
      <c r="H32" s="12">
        <v>1</v>
      </c>
      <c r="I32" s="12">
        <v>5</v>
      </c>
      <c r="J32" s="12">
        <v>1</v>
      </c>
    </row>
    <row r="33" spans="1:15" x14ac:dyDescent="0.35">
      <c r="A33" s="74"/>
      <c r="B33" s="74"/>
      <c r="C33" s="98"/>
      <c r="D33" s="16" t="s">
        <v>191</v>
      </c>
      <c r="E33" s="17" t="s">
        <v>3</v>
      </c>
      <c r="F33" s="12">
        <v>76</v>
      </c>
      <c r="G33" s="12">
        <v>19</v>
      </c>
      <c r="H33" s="12">
        <v>1</v>
      </c>
      <c r="I33" s="12">
        <v>4</v>
      </c>
      <c r="J33" s="14"/>
    </row>
    <row r="34" spans="1:15" x14ac:dyDescent="0.35">
      <c r="A34" s="74"/>
      <c r="B34" s="74"/>
      <c r="C34" s="98"/>
      <c r="D34" s="16" t="s">
        <v>191</v>
      </c>
      <c r="E34" s="17" t="s">
        <v>4</v>
      </c>
      <c r="F34" s="12">
        <v>104</v>
      </c>
      <c r="G34" s="12">
        <v>4</v>
      </c>
      <c r="H34" s="12">
        <v>1</v>
      </c>
      <c r="I34" s="14"/>
      <c r="J34" s="14"/>
    </row>
    <row r="35" spans="1:15" x14ac:dyDescent="0.35">
      <c r="C35" s="2"/>
      <c r="D35" s="16" t="s">
        <v>191</v>
      </c>
      <c r="E35" s="17" t="s">
        <v>5</v>
      </c>
      <c r="F35" s="12">
        <v>127</v>
      </c>
      <c r="G35" s="12">
        <v>17</v>
      </c>
      <c r="H35" s="14"/>
      <c r="I35" s="12">
        <v>6</v>
      </c>
      <c r="J35" s="14"/>
      <c r="K35" s="2">
        <f>SUM(F31:F35)</f>
        <v>498</v>
      </c>
      <c r="L35" s="2">
        <f t="shared" ref="L35:O35" si="2">SUM(G31:G35)</f>
        <v>67</v>
      </c>
      <c r="M35" s="2">
        <f t="shared" si="2"/>
        <v>4</v>
      </c>
      <c r="N35" s="2">
        <f t="shared" si="2"/>
        <v>17</v>
      </c>
      <c r="O35" s="2">
        <f t="shared" si="2"/>
        <v>1</v>
      </c>
    </row>
    <row r="36" spans="1:15" x14ac:dyDescent="0.35">
      <c r="A36" s="4" t="s">
        <v>428</v>
      </c>
      <c r="B36" s="4" t="s">
        <v>429</v>
      </c>
      <c r="C36" s="99">
        <v>1862</v>
      </c>
      <c r="D36" s="16" t="s">
        <v>191</v>
      </c>
      <c r="E36" s="17" t="s">
        <v>6</v>
      </c>
      <c r="F36" s="12">
        <v>96</v>
      </c>
      <c r="G36" s="12">
        <v>12</v>
      </c>
      <c r="H36" s="12">
        <v>3</v>
      </c>
      <c r="I36" s="12">
        <v>3</v>
      </c>
      <c r="J36" s="14"/>
    </row>
    <row r="37" spans="1:15" x14ac:dyDescent="0.35">
      <c r="A37" s="80"/>
      <c r="B37" s="80"/>
      <c r="C37" s="100"/>
      <c r="D37" s="16" t="s">
        <v>191</v>
      </c>
      <c r="E37" s="17" t="s">
        <v>7</v>
      </c>
      <c r="F37" s="12">
        <v>168</v>
      </c>
      <c r="G37" s="12">
        <v>37</v>
      </c>
      <c r="H37" s="12">
        <v>6</v>
      </c>
      <c r="I37" s="12">
        <v>4</v>
      </c>
      <c r="J37" s="14"/>
    </row>
    <row r="38" spans="1:15" x14ac:dyDescent="0.35">
      <c r="A38" s="80"/>
      <c r="B38" s="80"/>
      <c r="C38" s="100"/>
      <c r="D38" s="16" t="s">
        <v>191</v>
      </c>
      <c r="E38" s="17" t="s">
        <v>8</v>
      </c>
      <c r="F38" s="12">
        <v>75</v>
      </c>
      <c r="G38" s="12">
        <v>13</v>
      </c>
      <c r="H38" s="12">
        <v>8</v>
      </c>
      <c r="I38" s="12">
        <v>5</v>
      </c>
      <c r="J38" s="14"/>
    </row>
    <row r="39" spans="1:15" x14ac:dyDescent="0.35">
      <c r="A39" s="80"/>
      <c r="B39" s="80"/>
      <c r="C39" s="100"/>
      <c r="D39" s="16" t="s">
        <v>191</v>
      </c>
      <c r="E39" s="17" t="s">
        <v>9</v>
      </c>
      <c r="F39" s="12">
        <v>125</v>
      </c>
      <c r="G39" s="12">
        <v>30</v>
      </c>
      <c r="H39" s="12">
        <v>3</v>
      </c>
      <c r="I39" s="12">
        <v>6</v>
      </c>
      <c r="J39" s="12">
        <v>1</v>
      </c>
    </row>
    <row r="40" spans="1:15" x14ac:dyDescent="0.35">
      <c r="A40" s="80"/>
      <c r="B40" s="80"/>
      <c r="C40" s="100"/>
      <c r="D40" s="16" t="s">
        <v>191</v>
      </c>
      <c r="E40" s="17" t="s">
        <v>11</v>
      </c>
      <c r="F40" s="12">
        <v>91</v>
      </c>
      <c r="G40" s="12">
        <v>9</v>
      </c>
      <c r="H40" s="12">
        <v>1</v>
      </c>
      <c r="I40" s="12">
        <v>2</v>
      </c>
      <c r="J40" s="14"/>
    </row>
    <row r="41" spans="1:15" x14ac:dyDescent="0.35">
      <c r="A41" s="80"/>
      <c r="B41" s="80"/>
      <c r="C41" s="100"/>
      <c r="D41" s="16" t="s">
        <v>191</v>
      </c>
      <c r="E41" s="17" t="s">
        <v>12</v>
      </c>
      <c r="F41" s="12">
        <v>42</v>
      </c>
      <c r="G41" s="12">
        <v>10</v>
      </c>
      <c r="H41" s="14"/>
      <c r="I41" s="12">
        <v>1</v>
      </c>
      <c r="J41" s="14"/>
    </row>
    <row r="42" spans="1:15" x14ac:dyDescent="0.35">
      <c r="A42" s="80"/>
      <c r="B42" s="80"/>
      <c r="C42" s="100"/>
      <c r="D42" s="16" t="s">
        <v>191</v>
      </c>
      <c r="E42" s="17" t="s">
        <v>13</v>
      </c>
      <c r="F42" s="12">
        <v>74</v>
      </c>
      <c r="G42" s="12">
        <v>22</v>
      </c>
      <c r="H42" s="12">
        <v>6</v>
      </c>
      <c r="I42" s="12">
        <v>4</v>
      </c>
      <c r="J42" s="12">
        <v>1</v>
      </c>
    </row>
    <row r="43" spans="1:15" x14ac:dyDescent="0.35">
      <c r="A43" s="80"/>
      <c r="B43" s="80"/>
      <c r="C43" s="100"/>
      <c r="D43" s="16" t="s">
        <v>190</v>
      </c>
      <c r="E43" s="17" t="s">
        <v>11</v>
      </c>
      <c r="F43" s="13">
        <v>84</v>
      </c>
      <c r="G43" s="13">
        <v>5</v>
      </c>
      <c r="H43" s="13">
        <v>1</v>
      </c>
      <c r="I43" s="13">
        <v>2</v>
      </c>
      <c r="J43" s="15"/>
      <c r="K43" s="2">
        <f>SUM(F36:F43)</f>
        <v>755</v>
      </c>
      <c r="L43" s="2">
        <f t="shared" ref="L43:O43" si="3">SUM(G36:G43)</f>
        <v>138</v>
      </c>
      <c r="M43" s="2">
        <f t="shared" si="3"/>
        <v>28</v>
      </c>
      <c r="N43" s="2">
        <f t="shared" si="3"/>
        <v>27</v>
      </c>
      <c r="O43" s="2">
        <f t="shared" si="3"/>
        <v>2</v>
      </c>
    </row>
    <row r="44" spans="1:15" x14ac:dyDescent="0.35">
      <c r="A44" s="9" t="s">
        <v>635</v>
      </c>
      <c r="B44" s="9" t="s">
        <v>636</v>
      </c>
      <c r="C44" s="97">
        <v>2414</v>
      </c>
      <c r="D44" s="16" t="s">
        <v>192</v>
      </c>
      <c r="E44" s="17" t="s">
        <v>17</v>
      </c>
      <c r="F44" s="13">
        <v>100</v>
      </c>
      <c r="G44" s="13">
        <v>15</v>
      </c>
      <c r="H44" s="15"/>
      <c r="I44" s="13">
        <v>1</v>
      </c>
      <c r="J44" s="15"/>
    </row>
    <row r="45" spans="1:15" x14ac:dyDescent="0.35">
      <c r="A45" s="74"/>
      <c r="B45" s="74"/>
      <c r="C45" s="98"/>
      <c r="D45" s="16" t="s">
        <v>192</v>
      </c>
      <c r="E45" s="17" t="s">
        <v>2</v>
      </c>
      <c r="F45" s="13">
        <v>167</v>
      </c>
      <c r="G45" s="13">
        <v>38</v>
      </c>
      <c r="H45" s="15"/>
      <c r="I45" s="13">
        <v>3</v>
      </c>
      <c r="J45" s="15"/>
    </row>
    <row r="46" spans="1:15" x14ac:dyDescent="0.35">
      <c r="A46" s="74"/>
      <c r="B46" s="74"/>
      <c r="C46" s="98"/>
      <c r="D46" s="16" t="s">
        <v>192</v>
      </c>
      <c r="E46" s="17" t="s">
        <v>3</v>
      </c>
      <c r="F46" s="13">
        <v>90</v>
      </c>
      <c r="G46" s="13">
        <v>31</v>
      </c>
      <c r="H46" s="13">
        <v>1</v>
      </c>
      <c r="I46" s="13">
        <v>4</v>
      </c>
      <c r="J46" s="15"/>
    </row>
    <row r="47" spans="1:15" x14ac:dyDescent="0.35">
      <c r="A47" s="74"/>
      <c r="B47" s="74"/>
      <c r="C47" s="98"/>
      <c r="D47" s="16" t="s">
        <v>192</v>
      </c>
      <c r="E47" s="17" t="s">
        <v>4</v>
      </c>
      <c r="F47" s="13">
        <v>81</v>
      </c>
      <c r="G47" s="13">
        <v>10</v>
      </c>
      <c r="H47" s="15"/>
      <c r="I47" s="13">
        <v>2</v>
      </c>
      <c r="J47" s="15"/>
    </row>
    <row r="48" spans="1:15" x14ac:dyDescent="0.35">
      <c r="A48" s="74"/>
      <c r="B48" s="74"/>
      <c r="C48" s="98"/>
      <c r="D48" s="16" t="s">
        <v>192</v>
      </c>
      <c r="E48" s="17" t="s">
        <v>5</v>
      </c>
      <c r="F48" s="13">
        <v>86</v>
      </c>
      <c r="G48" s="13">
        <v>13</v>
      </c>
      <c r="H48" s="15"/>
      <c r="I48" s="15"/>
      <c r="J48" s="15"/>
    </row>
    <row r="49" spans="1:15" x14ac:dyDescent="0.35">
      <c r="A49" s="74"/>
      <c r="B49" s="74"/>
      <c r="C49" s="98"/>
      <c r="D49" s="16" t="s">
        <v>192</v>
      </c>
      <c r="E49" s="17" t="s">
        <v>6</v>
      </c>
      <c r="F49" s="13">
        <v>71</v>
      </c>
      <c r="G49" s="15"/>
      <c r="H49" s="15"/>
      <c r="I49" s="13">
        <v>2</v>
      </c>
      <c r="J49" s="15"/>
    </row>
    <row r="50" spans="1:15" x14ac:dyDescent="0.35">
      <c r="A50" s="74"/>
      <c r="B50" s="74"/>
      <c r="C50" s="98"/>
      <c r="D50" s="16" t="s">
        <v>192</v>
      </c>
      <c r="E50" s="17" t="s">
        <v>7</v>
      </c>
      <c r="F50" s="13">
        <v>72</v>
      </c>
      <c r="G50" s="13">
        <v>9</v>
      </c>
      <c r="H50" s="13">
        <v>2</v>
      </c>
      <c r="I50" s="13">
        <v>2</v>
      </c>
      <c r="J50" s="13">
        <v>1</v>
      </c>
    </row>
    <row r="51" spans="1:15" x14ac:dyDescent="0.35">
      <c r="A51" s="74"/>
      <c r="B51" s="74"/>
      <c r="C51" s="98"/>
      <c r="D51" s="16" t="s">
        <v>192</v>
      </c>
      <c r="E51" s="17" t="s">
        <v>8</v>
      </c>
      <c r="F51" s="13">
        <v>186</v>
      </c>
      <c r="G51" s="13">
        <v>27</v>
      </c>
      <c r="H51" s="13">
        <v>11</v>
      </c>
      <c r="I51" s="13">
        <v>8</v>
      </c>
      <c r="J51" s="15"/>
      <c r="K51" s="2">
        <f>SUM(F44:F51)</f>
        <v>853</v>
      </c>
      <c r="L51" s="2">
        <f t="shared" ref="L51:O51" si="4">SUM(G44:G51)</f>
        <v>143</v>
      </c>
      <c r="M51" s="2">
        <f t="shared" si="4"/>
        <v>14</v>
      </c>
      <c r="N51" s="2">
        <f t="shared" si="4"/>
        <v>22</v>
      </c>
      <c r="O51" s="2">
        <f t="shared" si="4"/>
        <v>1</v>
      </c>
    </row>
    <row r="52" spans="1:15" x14ac:dyDescent="0.35">
      <c r="A52" s="4" t="s">
        <v>663</v>
      </c>
      <c r="B52" s="4" t="s">
        <v>664</v>
      </c>
      <c r="C52" s="99">
        <v>1090</v>
      </c>
      <c r="D52" s="16" t="s">
        <v>193</v>
      </c>
      <c r="E52" s="17" t="s">
        <v>4</v>
      </c>
      <c r="F52" s="12">
        <v>68</v>
      </c>
      <c r="G52" s="12">
        <v>11</v>
      </c>
      <c r="H52" s="12">
        <v>2</v>
      </c>
      <c r="I52" s="12">
        <v>1</v>
      </c>
      <c r="J52" s="14"/>
    </row>
    <row r="53" spans="1:15" x14ac:dyDescent="0.35">
      <c r="A53" s="80"/>
      <c r="B53" s="80"/>
      <c r="C53" s="100"/>
      <c r="D53" s="16" t="s">
        <v>193</v>
      </c>
      <c r="E53" s="17" t="s">
        <v>5</v>
      </c>
      <c r="F53" s="12">
        <v>71</v>
      </c>
      <c r="G53" s="12">
        <v>11</v>
      </c>
      <c r="H53" s="12">
        <v>3</v>
      </c>
      <c r="I53" s="12">
        <v>2</v>
      </c>
      <c r="J53" s="14"/>
    </row>
    <row r="54" spans="1:15" x14ac:dyDescent="0.35">
      <c r="A54" s="80"/>
      <c r="B54" s="80"/>
      <c r="C54" s="100"/>
      <c r="D54" s="16" t="s">
        <v>193</v>
      </c>
      <c r="E54" s="17" t="s">
        <v>6</v>
      </c>
      <c r="F54" s="12">
        <v>36</v>
      </c>
      <c r="G54" s="12">
        <v>11</v>
      </c>
      <c r="H54" s="14"/>
      <c r="I54" s="14"/>
      <c r="J54" s="14"/>
    </row>
    <row r="55" spans="1:15" x14ac:dyDescent="0.35">
      <c r="A55" s="80"/>
      <c r="B55" s="80"/>
      <c r="C55" s="100"/>
      <c r="D55" s="16" t="s">
        <v>193</v>
      </c>
      <c r="E55" s="17" t="s">
        <v>7</v>
      </c>
      <c r="F55" s="12">
        <v>37</v>
      </c>
      <c r="G55" s="12">
        <v>4</v>
      </c>
      <c r="H55" s="14"/>
      <c r="I55" s="12">
        <v>3</v>
      </c>
      <c r="J55" s="14"/>
    </row>
    <row r="56" spans="1:15" x14ac:dyDescent="0.35">
      <c r="A56" s="80"/>
      <c r="B56" s="80"/>
      <c r="C56" s="100"/>
      <c r="D56" s="16" t="s">
        <v>193</v>
      </c>
      <c r="E56" s="17" t="s">
        <v>8</v>
      </c>
      <c r="F56" s="12">
        <v>17</v>
      </c>
      <c r="G56" s="12">
        <v>3</v>
      </c>
      <c r="H56" s="14"/>
      <c r="I56" s="14"/>
      <c r="J56" s="14"/>
    </row>
    <row r="57" spans="1:15" x14ac:dyDescent="0.35">
      <c r="A57" s="80"/>
      <c r="B57" s="80"/>
      <c r="C57" s="100"/>
      <c r="D57" s="16" t="s">
        <v>188</v>
      </c>
      <c r="E57" s="17" t="s">
        <v>6</v>
      </c>
      <c r="F57" s="13">
        <v>78</v>
      </c>
      <c r="G57" s="13">
        <v>24</v>
      </c>
      <c r="H57" s="15"/>
      <c r="I57" s="13">
        <v>1</v>
      </c>
      <c r="J57" s="15"/>
      <c r="K57" s="2">
        <f>SUM(F52:F57)</f>
        <v>307</v>
      </c>
      <c r="L57" s="2">
        <f t="shared" ref="L57:O57" si="5">SUM(G52:G57)</f>
        <v>64</v>
      </c>
      <c r="M57" s="2">
        <f t="shared" si="5"/>
        <v>5</v>
      </c>
      <c r="N57" s="2">
        <f t="shared" si="5"/>
        <v>7</v>
      </c>
      <c r="O57" s="2">
        <f t="shared" si="5"/>
        <v>0</v>
      </c>
    </row>
    <row r="58" spans="1:15" x14ac:dyDescent="0.35">
      <c r="A58" s="81"/>
      <c r="B58" s="81" t="s">
        <v>723</v>
      </c>
      <c r="C58" s="106">
        <f>SUM(C5:C52)</f>
        <v>12219</v>
      </c>
      <c r="D58" s="304" t="s">
        <v>231</v>
      </c>
      <c r="E58" s="305"/>
      <c r="F58" s="20">
        <f>SUM(F5:F56)</f>
        <v>4466</v>
      </c>
      <c r="G58" s="20">
        <f>SUM(G5:G56)</f>
        <v>999</v>
      </c>
      <c r="H58" s="20">
        <f>SUM(H5:H56)</f>
        <v>136</v>
      </c>
      <c r="I58" s="20">
        <f>SUM(I5:I56)</f>
        <v>169</v>
      </c>
      <c r="J58" s="20">
        <f>SUM(J5:J56)</f>
        <v>10</v>
      </c>
    </row>
    <row r="59" spans="1:15" x14ac:dyDescent="0.35">
      <c r="A59" s="306" t="s">
        <v>747</v>
      </c>
      <c r="B59" s="306"/>
      <c r="C59" s="106">
        <f>SUM(C58,F58,G58,H58,I58,J58)</f>
        <v>17999</v>
      </c>
    </row>
  </sheetData>
  <mergeCells count="7">
    <mergeCell ref="A59:B59"/>
    <mergeCell ref="D58:E58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3"/>
  <sheetViews>
    <sheetView topLeftCell="A31" zoomScale="90" zoomScaleNormal="90" workbookViewId="0">
      <selection activeCell="K105" sqref="K105:O105"/>
    </sheetView>
  </sheetViews>
  <sheetFormatPr defaultRowHeight="21" x14ac:dyDescent="0.35"/>
  <cols>
    <col min="1" max="1" width="18.28515625" style="2" customWidth="1"/>
    <col min="2" max="2" width="18.7109375" style="2" customWidth="1"/>
    <col min="3" max="3" width="18" style="95" customWidth="1"/>
    <col min="4" max="4" width="14.7109375" style="2" customWidth="1"/>
    <col min="5" max="5" width="9.140625" style="22"/>
    <col min="6" max="6" width="15.28515625" style="22" customWidth="1"/>
    <col min="7" max="7" width="14.42578125" style="22" customWidth="1"/>
    <col min="8" max="8" width="12" style="22" customWidth="1"/>
    <col min="9" max="9" width="20" style="22" customWidth="1"/>
    <col min="10" max="10" width="14.85546875" style="22" customWidth="1"/>
    <col min="11" max="16384" width="9.140625" style="2"/>
  </cols>
  <sheetData>
    <row r="1" spans="1:15" x14ac:dyDescent="0.35">
      <c r="A1" s="302" t="s">
        <v>748</v>
      </c>
      <c r="B1" s="302"/>
      <c r="C1" s="302"/>
      <c r="D1" s="298" t="s">
        <v>234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A3" s="91"/>
      <c r="B3" s="91"/>
      <c r="C3" s="110"/>
      <c r="D3" s="44"/>
      <c r="E3" s="44"/>
      <c r="F3" s="303" t="s">
        <v>718</v>
      </c>
      <c r="G3" s="303"/>
      <c r="H3" s="303"/>
      <c r="I3" s="303"/>
      <c r="J3" s="303"/>
    </row>
    <row r="4" spans="1:15" s="23" customFormat="1" x14ac:dyDescent="0.35">
      <c r="A4" s="108" t="s">
        <v>716</v>
      </c>
      <c r="B4" s="108" t="s">
        <v>256</v>
      </c>
      <c r="C4" s="87" t="s">
        <v>717</v>
      </c>
      <c r="D4" s="24" t="s">
        <v>223</v>
      </c>
      <c r="E4" s="60" t="s">
        <v>222</v>
      </c>
      <c r="F4" s="60" t="s">
        <v>218</v>
      </c>
      <c r="G4" s="60" t="s">
        <v>219</v>
      </c>
      <c r="H4" s="60" t="s">
        <v>220</v>
      </c>
      <c r="I4" s="60" t="s">
        <v>233</v>
      </c>
      <c r="J4" s="60" t="s">
        <v>221</v>
      </c>
    </row>
    <row r="5" spans="1:15" x14ac:dyDescent="0.35">
      <c r="A5" s="3" t="s">
        <v>667</v>
      </c>
      <c r="B5" s="3" t="s">
        <v>668</v>
      </c>
      <c r="C5" s="132">
        <v>4481</v>
      </c>
      <c r="D5" s="16" t="s">
        <v>199</v>
      </c>
      <c r="E5" s="17" t="s">
        <v>17</v>
      </c>
      <c r="F5" s="12">
        <v>497</v>
      </c>
      <c r="G5" s="12">
        <v>220</v>
      </c>
      <c r="H5" s="12">
        <v>28</v>
      </c>
      <c r="I5" s="12">
        <v>33</v>
      </c>
      <c r="J5" s="12">
        <v>5</v>
      </c>
    </row>
    <row r="6" spans="1:15" x14ac:dyDescent="0.35">
      <c r="A6" s="80"/>
      <c r="B6" s="80"/>
      <c r="C6" s="100"/>
      <c r="D6" s="16" t="s">
        <v>199</v>
      </c>
      <c r="E6" s="17" t="s">
        <v>2</v>
      </c>
      <c r="F6" s="12">
        <v>51</v>
      </c>
      <c r="G6" s="12">
        <v>27</v>
      </c>
      <c r="H6" s="12">
        <v>1</v>
      </c>
      <c r="I6" s="12">
        <v>4</v>
      </c>
      <c r="J6" s="12">
        <v>1</v>
      </c>
    </row>
    <row r="7" spans="1:15" x14ac:dyDescent="0.35">
      <c r="A7" s="80"/>
      <c r="B7" s="80"/>
      <c r="C7" s="100"/>
      <c r="D7" s="16" t="s">
        <v>199</v>
      </c>
      <c r="E7" s="17" t="s">
        <v>3</v>
      </c>
      <c r="F7" s="12">
        <v>109</v>
      </c>
      <c r="G7" s="12">
        <v>28</v>
      </c>
      <c r="H7" s="12">
        <v>5</v>
      </c>
      <c r="I7" s="12">
        <v>7</v>
      </c>
      <c r="J7" s="12">
        <v>1</v>
      </c>
    </row>
    <row r="8" spans="1:15" x14ac:dyDescent="0.35">
      <c r="A8" s="80"/>
      <c r="B8" s="80"/>
      <c r="C8" s="100"/>
      <c r="D8" s="16" t="s">
        <v>199</v>
      </c>
      <c r="E8" s="17" t="s">
        <v>4</v>
      </c>
      <c r="F8" s="12">
        <v>590</v>
      </c>
      <c r="G8" s="12">
        <v>84</v>
      </c>
      <c r="H8" s="12">
        <v>4</v>
      </c>
      <c r="I8" s="12">
        <v>13</v>
      </c>
      <c r="J8" s="12">
        <v>1</v>
      </c>
    </row>
    <row r="9" spans="1:15" x14ac:dyDescent="0.35">
      <c r="A9" s="80"/>
      <c r="B9" s="80"/>
      <c r="C9" s="100"/>
      <c r="D9" s="16" t="s">
        <v>199</v>
      </c>
      <c r="E9" s="17" t="s">
        <v>9</v>
      </c>
      <c r="F9" s="12">
        <v>71</v>
      </c>
      <c r="G9" s="12">
        <v>23</v>
      </c>
      <c r="H9" s="12">
        <v>1</v>
      </c>
      <c r="I9" s="12">
        <v>4</v>
      </c>
      <c r="J9" s="12">
        <v>1</v>
      </c>
    </row>
    <row r="10" spans="1:15" x14ac:dyDescent="0.35">
      <c r="A10" s="80"/>
      <c r="B10" s="80"/>
      <c r="C10" s="100"/>
      <c r="D10" s="16" t="s">
        <v>199</v>
      </c>
      <c r="E10" s="17" t="s">
        <v>13</v>
      </c>
      <c r="F10" s="12">
        <v>110</v>
      </c>
      <c r="G10" s="12">
        <v>37</v>
      </c>
      <c r="H10" s="12">
        <v>9</v>
      </c>
      <c r="I10" s="12">
        <v>4</v>
      </c>
      <c r="J10" s="12"/>
    </row>
    <row r="11" spans="1:15" x14ac:dyDescent="0.35">
      <c r="A11" s="80"/>
      <c r="B11" s="80"/>
      <c r="C11" s="100"/>
      <c r="D11" s="16" t="s">
        <v>199</v>
      </c>
      <c r="E11" s="17" t="s">
        <v>21</v>
      </c>
      <c r="F11" s="12">
        <v>169</v>
      </c>
      <c r="G11" s="12">
        <v>65</v>
      </c>
      <c r="H11" s="12">
        <v>12</v>
      </c>
      <c r="I11" s="12">
        <v>7</v>
      </c>
      <c r="J11" s="12">
        <v>2</v>
      </c>
      <c r="K11" s="2">
        <f>SUM(F5:F11)</f>
        <v>1597</v>
      </c>
      <c r="L11" s="2">
        <f t="shared" ref="L11:O11" si="0">SUM(G5:G11)</f>
        <v>484</v>
      </c>
      <c r="M11" s="2">
        <f t="shared" si="0"/>
        <v>60</v>
      </c>
      <c r="N11" s="2">
        <f t="shared" si="0"/>
        <v>72</v>
      </c>
      <c r="O11" s="2">
        <f t="shared" si="0"/>
        <v>11</v>
      </c>
    </row>
    <row r="12" spans="1:15" x14ac:dyDescent="0.35">
      <c r="A12" s="6" t="s">
        <v>669</v>
      </c>
      <c r="B12" s="6" t="s">
        <v>670</v>
      </c>
      <c r="C12" s="133">
        <v>3747</v>
      </c>
      <c r="D12" s="16" t="s">
        <v>194</v>
      </c>
      <c r="E12" s="17" t="s">
        <v>17</v>
      </c>
      <c r="F12" s="13">
        <v>135</v>
      </c>
      <c r="G12" s="13">
        <v>35</v>
      </c>
      <c r="H12" s="13">
        <v>1</v>
      </c>
      <c r="I12" s="15">
        <v>9</v>
      </c>
      <c r="J12" s="15"/>
    </row>
    <row r="13" spans="1:15" x14ac:dyDescent="0.35">
      <c r="C13" s="2"/>
      <c r="D13" s="16" t="s">
        <v>194</v>
      </c>
      <c r="E13" s="17" t="s">
        <v>2</v>
      </c>
      <c r="F13" s="13">
        <v>176</v>
      </c>
      <c r="G13" s="13">
        <v>50</v>
      </c>
      <c r="H13" s="13">
        <v>4</v>
      </c>
      <c r="I13" s="13">
        <v>6</v>
      </c>
      <c r="J13" s="15"/>
    </row>
    <row r="14" spans="1:15" x14ac:dyDescent="0.35">
      <c r="A14" s="74"/>
      <c r="B14" s="74"/>
      <c r="C14" s="98"/>
      <c r="D14" s="16" t="s">
        <v>194</v>
      </c>
      <c r="E14" s="17" t="s">
        <v>3</v>
      </c>
      <c r="F14" s="13">
        <v>98</v>
      </c>
      <c r="G14" s="13">
        <v>2</v>
      </c>
      <c r="H14" s="15"/>
      <c r="I14" s="15"/>
      <c r="J14" s="15"/>
    </row>
    <row r="15" spans="1:15" x14ac:dyDescent="0.35">
      <c r="A15" s="74"/>
      <c r="B15" s="74"/>
      <c r="C15" s="98"/>
      <c r="D15" s="16" t="s">
        <v>194</v>
      </c>
      <c r="E15" s="17" t="s">
        <v>4</v>
      </c>
      <c r="F15" s="13">
        <v>545</v>
      </c>
      <c r="G15" s="13">
        <v>242</v>
      </c>
      <c r="H15" s="13">
        <v>19</v>
      </c>
      <c r="I15" s="13">
        <v>31</v>
      </c>
      <c r="J15" s="15"/>
    </row>
    <row r="16" spans="1:15" x14ac:dyDescent="0.35">
      <c r="A16" s="74"/>
      <c r="B16" s="74"/>
      <c r="C16" s="98"/>
      <c r="D16" s="16" t="s">
        <v>194</v>
      </c>
      <c r="E16" s="17" t="s">
        <v>5</v>
      </c>
      <c r="F16" s="13">
        <v>120</v>
      </c>
      <c r="G16" s="13">
        <v>33</v>
      </c>
      <c r="H16" s="13">
        <v>4</v>
      </c>
      <c r="I16" s="13">
        <v>8</v>
      </c>
      <c r="J16" s="15"/>
    </row>
    <row r="17" spans="1:15" x14ac:dyDescent="0.35">
      <c r="A17" s="74"/>
      <c r="B17" s="74"/>
      <c r="C17" s="98"/>
      <c r="D17" s="16" t="s">
        <v>194</v>
      </c>
      <c r="E17" s="17" t="s">
        <v>6</v>
      </c>
      <c r="F17" s="13">
        <v>114</v>
      </c>
      <c r="G17" s="13">
        <v>17</v>
      </c>
      <c r="H17" s="13">
        <v>8</v>
      </c>
      <c r="I17" s="13">
        <v>6</v>
      </c>
      <c r="J17" s="13">
        <v>1</v>
      </c>
    </row>
    <row r="18" spans="1:15" x14ac:dyDescent="0.35">
      <c r="A18" s="74"/>
      <c r="B18" s="74"/>
      <c r="C18" s="98"/>
      <c r="D18" s="16" t="s">
        <v>194</v>
      </c>
      <c r="E18" s="17" t="s">
        <v>7</v>
      </c>
      <c r="F18" s="13">
        <v>52</v>
      </c>
      <c r="G18" s="13">
        <v>26</v>
      </c>
      <c r="H18" s="13">
        <v>4</v>
      </c>
      <c r="I18" s="13">
        <v>12</v>
      </c>
      <c r="J18" s="15"/>
    </row>
    <row r="19" spans="1:15" x14ac:dyDescent="0.35">
      <c r="A19" s="74"/>
      <c r="B19" s="74"/>
      <c r="C19" s="98"/>
      <c r="D19" s="16" t="s">
        <v>194</v>
      </c>
      <c r="E19" s="17" t="s">
        <v>8</v>
      </c>
      <c r="F19" s="13">
        <v>60</v>
      </c>
      <c r="G19" s="13">
        <v>14</v>
      </c>
      <c r="H19" s="15"/>
      <c r="I19" s="13">
        <v>3</v>
      </c>
      <c r="J19" s="15"/>
    </row>
    <row r="20" spans="1:15" x14ac:dyDescent="0.35">
      <c r="A20" s="74"/>
      <c r="B20" s="74"/>
      <c r="C20" s="98"/>
      <c r="D20" s="16" t="s">
        <v>194</v>
      </c>
      <c r="E20" s="17" t="s">
        <v>9</v>
      </c>
      <c r="F20" s="13">
        <v>462</v>
      </c>
      <c r="G20" s="13">
        <v>69</v>
      </c>
      <c r="H20" s="13">
        <v>17</v>
      </c>
      <c r="I20" s="13">
        <v>21</v>
      </c>
      <c r="J20" s="13">
        <v>1</v>
      </c>
      <c r="K20" s="2">
        <f>SUM(F12:F20)</f>
        <v>1762</v>
      </c>
      <c r="L20" s="2">
        <f t="shared" ref="L20:O20" si="1">SUM(G12:G20)</f>
        <v>488</v>
      </c>
      <c r="M20" s="2">
        <f t="shared" si="1"/>
        <v>57</v>
      </c>
      <c r="N20" s="2">
        <f t="shared" si="1"/>
        <v>96</v>
      </c>
      <c r="O20" s="2">
        <f t="shared" si="1"/>
        <v>2</v>
      </c>
    </row>
    <row r="21" spans="1:15" x14ac:dyDescent="0.35">
      <c r="A21" s="3" t="s">
        <v>655</v>
      </c>
      <c r="B21" s="3" t="s">
        <v>656</v>
      </c>
      <c r="C21" s="132">
        <v>1936</v>
      </c>
      <c r="D21" s="16" t="s">
        <v>195</v>
      </c>
      <c r="E21" s="17" t="s">
        <v>17</v>
      </c>
      <c r="F21" s="12">
        <v>120</v>
      </c>
      <c r="G21" s="12">
        <v>16</v>
      </c>
      <c r="H21" s="14"/>
      <c r="I21" s="12">
        <v>1</v>
      </c>
      <c r="J21" s="14"/>
    </row>
    <row r="22" spans="1:15" x14ac:dyDescent="0.35">
      <c r="A22" s="80"/>
      <c r="B22" s="80"/>
      <c r="C22" s="100"/>
      <c r="D22" s="16" t="s">
        <v>195</v>
      </c>
      <c r="E22" s="17" t="s">
        <v>2</v>
      </c>
      <c r="F22" s="12">
        <v>91</v>
      </c>
      <c r="G22" s="12">
        <v>16</v>
      </c>
      <c r="H22" s="14"/>
      <c r="I22" s="12">
        <v>1</v>
      </c>
      <c r="J22" s="14"/>
    </row>
    <row r="23" spans="1:15" x14ac:dyDescent="0.35">
      <c r="A23" s="80"/>
      <c r="B23" s="80"/>
      <c r="C23" s="100"/>
      <c r="D23" s="16" t="s">
        <v>195</v>
      </c>
      <c r="E23" s="17" t="s">
        <v>3</v>
      </c>
      <c r="F23" s="12">
        <v>124</v>
      </c>
      <c r="G23" s="12">
        <v>17</v>
      </c>
      <c r="H23" s="12">
        <v>6</v>
      </c>
      <c r="I23" s="12">
        <v>4</v>
      </c>
      <c r="J23" s="14"/>
    </row>
    <row r="24" spans="1:15" x14ac:dyDescent="0.35">
      <c r="A24" s="80"/>
      <c r="B24" s="80"/>
      <c r="C24" s="100"/>
      <c r="D24" s="16" t="s">
        <v>195</v>
      </c>
      <c r="E24" s="17" t="s">
        <v>4</v>
      </c>
      <c r="F24" s="12">
        <v>90</v>
      </c>
      <c r="G24" s="12">
        <v>12</v>
      </c>
      <c r="H24" s="12">
        <v>1</v>
      </c>
      <c r="I24" s="12">
        <v>1</v>
      </c>
      <c r="J24" s="14"/>
    </row>
    <row r="25" spans="1:15" x14ac:dyDescent="0.35">
      <c r="A25" s="80"/>
      <c r="B25" s="80"/>
      <c r="C25" s="100"/>
      <c r="D25" s="16" t="s">
        <v>195</v>
      </c>
      <c r="E25" s="17" t="s">
        <v>5</v>
      </c>
      <c r="F25" s="12">
        <v>59</v>
      </c>
      <c r="G25" s="12">
        <v>5</v>
      </c>
      <c r="H25" s="14"/>
      <c r="I25" s="12">
        <v>3</v>
      </c>
      <c r="J25" s="14"/>
    </row>
    <row r="26" spans="1:15" x14ac:dyDescent="0.35">
      <c r="A26" s="80"/>
      <c r="B26" s="80"/>
      <c r="C26" s="100"/>
      <c r="D26" s="16" t="s">
        <v>195</v>
      </c>
      <c r="E26" s="17" t="s">
        <v>6</v>
      </c>
      <c r="F26" s="12">
        <v>63</v>
      </c>
      <c r="G26" s="12">
        <v>5</v>
      </c>
      <c r="H26" s="12">
        <v>6</v>
      </c>
      <c r="I26" s="12">
        <v>1</v>
      </c>
      <c r="J26" s="12">
        <v>2</v>
      </c>
    </row>
    <row r="27" spans="1:15" x14ac:dyDescent="0.35">
      <c r="A27" s="80"/>
      <c r="B27" s="80"/>
      <c r="C27" s="100"/>
      <c r="D27" s="16" t="s">
        <v>195</v>
      </c>
      <c r="E27" s="17" t="s">
        <v>7</v>
      </c>
      <c r="F27" s="12">
        <v>111</v>
      </c>
      <c r="G27" s="12">
        <v>15</v>
      </c>
      <c r="H27" s="14"/>
      <c r="I27" s="12">
        <v>2</v>
      </c>
      <c r="J27" s="14"/>
      <c r="K27" s="2">
        <f>SUM(F21:F27)</f>
        <v>658</v>
      </c>
      <c r="L27" s="2">
        <f t="shared" ref="L27:O27" si="2">SUM(G21:G27)</f>
        <v>86</v>
      </c>
      <c r="M27" s="2">
        <f t="shared" si="2"/>
        <v>13</v>
      </c>
      <c r="N27" s="2">
        <f t="shared" si="2"/>
        <v>13</v>
      </c>
      <c r="O27" s="2">
        <f t="shared" si="2"/>
        <v>2</v>
      </c>
    </row>
    <row r="28" spans="1:15" x14ac:dyDescent="0.35">
      <c r="A28" s="6" t="s">
        <v>671</v>
      </c>
      <c r="B28" s="6" t="s">
        <v>672</v>
      </c>
      <c r="C28" s="133">
        <v>2694</v>
      </c>
      <c r="D28" s="16" t="s">
        <v>196</v>
      </c>
      <c r="E28" s="17" t="s">
        <v>17</v>
      </c>
      <c r="F28" s="13">
        <v>48</v>
      </c>
      <c r="G28" s="13">
        <v>7</v>
      </c>
      <c r="H28" s="15"/>
      <c r="I28" s="13">
        <v>1</v>
      </c>
      <c r="J28" s="15"/>
    </row>
    <row r="29" spans="1:15" x14ac:dyDescent="0.35">
      <c r="A29" s="74"/>
      <c r="B29" s="74"/>
      <c r="C29" s="98"/>
      <c r="D29" s="16" t="s">
        <v>196</v>
      </c>
      <c r="E29" s="17" t="s">
        <v>2</v>
      </c>
      <c r="F29" s="13">
        <v>88</v>
      </c>
      <c r="G29" s="13">
        <v>20</v>
      </c>
      <c r="H29" s="13">
        <v>1</v>
      </c>
      <c r="I29" s="13">
        <v>4</v>
      </c>
      <c r="J29" s="15"/>
    </row>
    <row r="30" spans="1:15" x14ac:dyDescent="0.35">
      <c r="A30" s="74"/>
      <c r="B30" s="74"/>
      <c r="C30" s="98"/>
      <c r="D30" s="16" t="s">
        <v>196</v>
      </c>
      <c r="E30" s="17" t="s">
        <v>3</v>
      </c>
      <c r="F30" s="13">
        <v>111</v>
      </c>
      <c r="G30" s="13">
        <v>24</v>
      </c>
      <c r="H30" s="13">
        <v>4</v>
      </c>
      <c r="I30" s="13">
        <v>3</v>
      </c>
      <c r="J30" s="15"/>
    </row>
    <row r="31" spans="1:15" x14ac:dyDescent="0.35">
      <c r="A31" s="74"/>
      <c r="B31" s="74"/>
      <c r="C31" s="98"/>
      <c r="D31" s="16" t="s">
        <v>196</v>
      </c>
      <c r="E31" s="17" t="s">
        <v>4</v>
      </c>
      <c r="F31" s="13">
        <v>106</v>
      </c>
      <c r="G31" s="13">
        <v>20</v>
      </c>
      <c r="H31" s="13">
        <v>6</v>
      </c>
      <c r="I31" s="13">
        <v>5</v>
      </c>
      <c r="J31" s="15"/>
    </row>
    <row r="32" spans="1:15" x14ac:dyDescent="0.35">
      <c r="A32" s="74"/>
      <c r="B32" s="74"/>
      <c r="C32" s="98"/>
      <c r="D32" s="16" t="s">
        <v>196</v>
      </c>
      <c r="E32" s="17" t="s">
        <v>5</v>
      </c>
      <c r="F32" s="13">
        <v>139</v>
      </c>
      <c r="G32" s="13">
        <v>10</v>
      </c>
      <c r="H32" s="13">
        <v>1</v>
      </c>
      <c r="I32" s="13">
        <v>2</v>
      </c>
      <c r="J32" s="15"/>
    </row>
    <row r="33" spans="1:15" x14ac:dyDescent="0.35">
      <c r="A33" s="74"/>
      <c r="B33" s="74"/>
      <c r="C33" s="98"/>
      <c r="D33" s="16" t="s">
        <v>196</v>
      </c>
      <c r="E33" s="17" t="s">
        <v>6</v>
      </c>
      <c r="F33" s="13">
        <v>64</v>
      </c>
      <c r="G33" s="13">
        <v>12</v>
      </c>
      <c r="H33" s="13">
        <v>4</v>
      </c>
      <c r="I33" s="13">
        <v>2</v>
      </c>
      <c r="J33" s="15"/>
      <c r="N33" s="1"/>
      <c r="O33" s="1"/>
    </row>
    <row r="34" spans="1:15" x14ac:dyDescent="0.35">
      <c r="A34" s="74"/>
      <c r="B34" s="74"/>
      <c r="C34" s="98"/>
      <c r="D34" s="16" t="s">
        <v>196</v>
      </c>
      <c r="E34" s="17" t="s">
        <v>7</v>
      </c>
      <c r="F34" s="13">
        <v>98</v>
      </c>
      <c r="G34" s="13">
        <v>11</v>
      </c>
      <c r="H34" s="13">
        <v>1</v>
      </c>
      <c r="I34" s="13">
        <v>4</v>
      </c>
      <c r="J34" s="15"/>
    </row>
    <row r="35" spans="1:15" x14ac:dyDescent="0.35">
      <c r="A35" s="74"/>
      <c r="B35" s="74"/>
      <c r="C35" s="98"/>
      <c r="D35" s="16" t="s">
        <v>196</v>
      </c>
      <c r="E35" s="17" t="s">
        <v>8</v>
      </c>
      <c r="F35" s="13">
        <v>118</v>
      </c>
      <c r="G35" s="13">
        <v>18</v>
      </c>
      <c r="H35" s="13">
        <v>1</v>
      </c>
      <c r="I35" s="15"/>
      <c r="J35" s="15"/>
    </row>
    <row r="36" spans="1:15" x14ac:dyDescent="0.35">
      <c r="A36" s="74"/>
      <c r="B36" s="74"/>
      <c r="C36" s="98"/>
      <c r="D36" s="16" t="s">
        <v>196</v>
      </c>
      <c r="E36" s="17" t="s">
        <v>9</v>
      </c>
      <c r="F36" s="13">
        <v>112</v>
      </c>
      <c r="G36" s="13">
        <v>28</v>
      </c>
      <c r="H36" s="13">
        <v>4</v>
      </c>
      <c r="I36" s="13">
        <v>7</v>
      </c>
      <c r="J36" s="15"/>
    </row>
    <row r="37" spans="1:15" x14ac:dyDescent="0.35">
      <c r="A37" s="74"/>
      <c r="B37" s="74"/>
      <c r="C37" s="98"/>
      <c r="D37" s="16" t="s">
        <v>196</v>
      </c>
      <c r="E37" s="17" t="s">
        <v>11</v>
      </c>
      <c r="F37" s="13">
        <v>284</v>
      </c>
      <c r="G37" s="13">
        <v>37</v>
      </c>
      <c r="H37" s="13">
        <v>13</v>
      </c>
      <c r="I37" s="13">
        <v>10</v>
      </c>
      <c r="J37" s="15"/>
      <c r="K37" s="2">
        <f>SUM(F28:F37)</f>
        <v>1168</v>
      </c>
      <c r="L37" s="2">
        <f>SUM(G28:G37)</f>
        <v>187</v>
      </c>
      <c r="M37" s="2">
        <f>SUM(H28:H37)</f>
        <v>35</v>
      </c>
      <c r="N37" s="2">
        <f>SUM(I28:I37)</f>
        <v>38</v>
      </c>
      <c r="O37" s="2">
        <f>SUM(J28:J37)</f>
        <v>0</v>
      </c>
    </row>
    <row r="38" spans="1:15" x14ac:dyDescent="0.35">
      <c r="A38" s="3" t="s">
        <v>673</v>
      </c>
      <c r="B38" s="3" t="s">
        <v>674</v>
      </c>
      <c r="C38" s="132">
        <v>2385</v>
      </c>
      <c r="D38" s="16" t="s">
        <v>197</v>
      </c>
      <c r="E38" s="17" t="s">
        <v>17</v>
      </c>
      <c r="F38" s="12">
        <v>153</v>
      </c>
      <c r="G38" s="12">
        <v>25</v>
      </c>
      <c r="H38" s="12">
        <v>5</v>
      </c>
      <c r="I38" s="12">
        <v>6</v>
      </c>
      <c r="J38" s="14"/>
    </row>
    <row r="39" spans="1:15" x14ac:dyDescent="0.35">
      <c r="A39" s="80"/>
      <c r="B39" s="80"/>
      <c r="C39" s="100"/>
      <c r="D39" s="16" t="s">
        <v>197</v>
      </c>
      <c r="E39" s="17" t="s">
        <v>2</v>
      </c>
      <c r="F39" s="12">
        <v>122</v>
      </c>
      <c r="G39" s="12">
        <v>9</v>
      </c>
      <c r="H39" s="14"/>
      <c r="I39" s="14"/>
      <c r="J39" s="14"/>
    </row>
    <row r="40" spans="1:15" x14ac:dyDescent="0.35">
      <c r="A40" s="80"/>
      <c r="B40" s="80"/>
      <c r="C40" s="100"/>
      <c r="D40" s="16" t="s">
        <v>197</v>
      </c>
      <c r="E40" s="17" t="s">
        <v>3</v>
      </c>
      <c r="F40" s="12">
        <v>81</v>
      </c>
      <c r="G40" s="12">
        <v>10</v>
      </c>
      <c r="H40" s="14"/>
      <c r="I40" s="12">
        <v>3</v>
      </c>
      <c r="J40" s="14"/>
    </row>
    <row r="41" spans="1:15" x14ac:dyDescent="0.35">
      <c r="A41" s="80"/>
      <c r="B41" s="80"/>
      <c r="C41" s="100"/>
      <c r="D41" s="16" t="s">
        <v>197</v>
      </c>
      <c r="E41" s="17" t="s">
        <v>4</v>
      </c>
      <c r="F41" s="12">
        <v>123</v>
      </c>
      <c r="G41" s="12">
        <v>19</v>
      </c>
      <c r="H41" s="12">
        <v>4</v>
      </c>
      <c r="I41" s="12">
        <v>3</v>
      </c>
      <c r="J41" s="14"/>
    </row>
    <row r="42" spans="1:15" x14ac:dyDescent="0.35">
      <c r="A42" s="80"/>
      <c r="B42" s="80"/>
      <c r="C42" s="100"/>
      <c r="D42" s="16" t="s">
        <v>197</v>
      </c>
      <c r="E42" s="17" t="s">
        <v>5</v>
      </c>
      <c r="F42" s="12">
        <v>120</v>
      </c>
      <c r="G42" s="12">
        <v>9</v>
      </c>
      <c r="H42" s="12">
        <v>1</v>
      </c>
      <c r="I42" s="12">
        <v>4</v>
      </c>
      <c r="J42" s="14"/>
    </row>
    <row r="43" spans="1:15" x14ac:dyDescent="0.35">
      <c r="A43" s="80"/>
      <c r="B43" s="80"/>
      <c r="C43" s="100"/>
      <c r="D43" s="16" t="s">
        <v>197</v>
      </c>
      <c r="E43" s="17" t="s">
        <v>6</v>
      </c>
      <c r="F43" s="12">
        <v>165</v>
      </c>
      <c r="G43" s="12">
        <v>10</v>
      </c>
      <c r="H43" s="12">
        <v>1</v>
      </c>
      <c r="I43" s="12">
        <v>1</v>
      </c>
      <c r="J43" s="14"/>
    </row>
    <row r="44" spans="1:15" x14ac:dyDescent="0.35">
      <c r="A44" s="80"/>
      <c r="B44" s="80"/>
      <c r="C44" s="100"/>
      <c r="D44" s="16" t="s">
        <v>197</v>
      </c>
      <c r="E44" s="17" t="s">
        <v>7</v>
      </c>
      <c r="F44" s="12">
        <v>56</v>
      </c>
      <c r="G44" s="12">
        <v>1</v>
      </c>
      <c r="H44" s="14"/>
      <c r="I44" s="12">
        <v>2</v>
      </c>
      <c r="J44" s="14"/>
    </row>
    <row r="45" spans="1:15" x14ac:dyDescent="0.35">
      <c r="A45" s="80"/>
      <c r="B45" s="80"/>
      <c r="C45" s="100"/>
      <c r="D45" s="16" t="s">
        <v>197</v>
      </c>
      <c r="E45" s="17" t="s">
        <v>8</v>
      </c>
      <c r="F45" s="12">
        <v>76</v>
      </c>
      <c r="G45" s="12">
        <v>1</v>
      </c>
      <c r="H45" s="14"/>
      <c r="I45" s="12">
        <v>4</v>
      </c>
      <c r="J45" s="14"/>
    </row>
    <row r="46" spans="1:15" x14ac:dyDescent="0.35">
      <c r="A46" s="80"/>
      <c r="B46" s="80"/>
      <c r="C46" s="100"/>
      <c r="D46" s="16" t="s">
        <v>197</v>
      </c>
      <c r="E46" s="17" t="s">
        <v>9</v>
      </c>
      <c r="F46" s="12">
        <v>36</v>
      </c>
      <c r="G46" s="12">
        <v>8</v>
      </c>
      <c r="H46" s="14"/>
      <c r="I46" s="12">
        <v>2</v>
      </c>
      <c r="J46" s="14"/>
    </row>
    <row r="47" spans="1:15" x14ac:dyDescent="0.35">
      <c r="A47" s="80"/>
      <c r="B47" s="80"/>
      <c r="C47" s="100"/>
      <c r="D47" s="16" t="s">
        <v>197</v>
      </c>
      <c r="E47" s="17" t="s">
        <v>11</v>
      </c>
      <c r="F47" s="12">
        <v>34</v>
      </c>
      <c r="G47" s="14"/>
      <c r="H47" s="14"/>
      <c r="I47" s="14"/>
      <c r="J47" s="14"/>
    </row>
    <row r="48" spans="1:15" x14ac:dyDescent="0.35">
      <c r="A48" s="80"/>
      <c r="B48" s="80"/>
      <c r="C48" s="100"/>
      <c r="D48" s="16" t="s">
        <v>197</v>
      </c>
      <c r="E48" s="17" t="s">
        <v>12</v>
      </c>
      <c r="F48" s="12">
        <v>105</v>
      </c>
      <c r="G48" s="12">
        <v>11</v>
      </c>
      <c r="H48" s="12">
        <v>3</v>
      </c>
      <c r="I48" s="12">
        <v>2</v>
      </c>
      <c r="J48" s="14"/>
    </row>
    <row r="49" spans="1:15" x14ac:dyDescent="0.35">
      <c r="A49" s="80"/>
      <c r="B49" s="80"/>
      <c r="C49" s="100"/>
      <c r="D49" s="16" t="s">
        <v>197</v>
      </c>
      <c r="E49" s="17" t="s">
        <v>13</v>
      </c>
      <c r="F49" s="12">
        <v>68</v>
      </c>
      <c r="G49" s="12">
        <v>11</v>
      </c>
      <c r="H49" s="14"/>
      <c r="I49" s="12">
        <v>1</v>
      </c>
      <c r="J49" s="14"/>
      <c r="K49" s="2">
        <f>SUM(F38:F49)</f>
        <v>1139</v>
      </c>
      <c r="L49" s="2">
        <f t="shared" ref="L49:O49" si="3">SUM(G38:G49)</f>
        <v>114</v>
      </c>
      <c r="M49" s="2">
        <f t="shared" si="3"/>
        <v>14</v>
      </c>
      <c r="N49" s="2">
        <f t="shared" si="3"/>
        <v>28</v>
      </c>
      <c r="O49" s="2">
        <f t="shared" si="3"/>
        <v>0</v>
      </c>
    </row>
    <row r="50" spans="1:15" x14ac:dyDescent="0.35">
      <c r="A50" s="6" t="s">
        <v>621</v>
      </c>
      <c r="B50" s="6" t="s">
        <v>622</v>
      </c>
      <c r="C50" s="133">
        <v>2025</v>
      </c>
      <c r="D50" s="16" t="s">
        <v>198</v>
      </c>
      <c r="E50" s="17" t="s">
        <v>17</v>
      </c>
      <c r="F50" s="13">
        <v>70</v>
      </c>
      <c r="G50" s="13">
        <v>19</v>
      </c>
      <c r="H50" s="15"/>
      <c r="I50" s="13">
        <v>1</v>
      </c>
      <c r="J50" s="13"/>
    </row>
    <row r="51" spans="1:15" x14ac:dyDescent="0.35">
      <c r="A51" s="74"/>
      <c r="B51" s="74"/>
      <c r="C51" s="98"/>
      <c r="D51" s="16" t="s">
        <v>198</v>
      </c>
      <c r="E51" s="17" t="s">
        <v>2</v>
      </c>
      <c r="F51" s="13">
        <v>69</v>
      </c>
      <c r="G51" s="13">
        <v>15</v>
      </c>
      <c r="H51" s="15"/>
      <c r="I51" s="13">
        <v>2</v>
      </c>
      <c r="J51" s="13"/>
    </row>
    <row r="52" spans="1:15" x14ac:dyDescent="0.35">
      <c r="A52" s="74"/>
      <c r="B52" s="74"/>
      <c r="C52" s="98"/>
      <c r="D52" s="16" t="s">
        <v>198</v>
      </c>
      <c r="E52" s="17" t="s">
        <v>3</v>
      </c>
      <c r="F52" s="13">
        <v>110</v>
      </c>
      <c r="G52" s="13">
        <v>2</v>
      </c>
      <c r="H52" s="13">
        <v>2</v>
      </c>
      <c r="I52" s="13">
        <v>3</v>
      </c>
      <c r="J52" s="13"/>
    </row>
    <row r="53" spans="1:15" x14ac:dyDescent="0.35">
      <c r="A53" s="74"/>
      <c r="B53" s="74"/>
      <c r="C53" s="98"/>
      <c r="D53" s="16" t="s">
        <v>198</v>
      </c>
      <c r="E53" s="17" t="s">
        <v>4</v>
      </c>
      <c r="F53" s="13">
        <v>50</v>
      </c>
      <c r="G53" s="13">
        <v>9</v>
      </c>
      <c r="H53" s="13">
        <v>2</v>
      </c>
      <c r="I53" s="15"/>
      <c r="J53" s="13"/>
    </row>
    <row r="54" spans="1:15" x14ac:dyDescent="0.35">
      <c r="A54" s="74"/>
      <c r="B54" s="74"/>
      <c r="C54" s="98"/>
      <c r="D54" s="16" t="s">
        <v>198</v>
      </c>
      <c r="E54" s="17" t="s">
        <v>5</v>
      </c>
      <c r="F54" s="13">
        <v>121</v>
      </c>
      <c r="G54" s="13">
        <v>11</v>
      </c>
      <c r="H54" s="13">
        <v>5</v>
      </c>
      <c r="I54" s="13">
        <v>1</v>
      </c>
      <c r="J54" s="13"/>
    </row>
    <row r="55" spans="1:15" x14ac:dyDescent="0.35">
      <c r="A55" s="74"/>
      <c r="B55" s="74"/>
      <c r="C55" s="98"/>
      <c r="D55" s="16" t="s">
        <v>198</v>
      </c>
      <c r="E55" s="17" t="s">
        <v>6</v>
      </c>
      <c r="F55" s="13">
        <v>89</v>
      </c>
      <c r="G55" s="13">
        <v>15</v>
      </c>
      <c r="H55" s="13">
        <v>7</v>
      </c>
      <c r="I55" s="15"/>
      <c r="J55" s="13"/>
    </row>
    <row r="56" spans="1:15" x14ac:dyDescent="0.35">
      <c r="A56" s="74"/>
      <c r="B56" s="74"/>
      <c r="C56" s="98"/>
      <c r="D56" s="16" t="s">
        <v>198</v>
      </c>
      <c r="E56" s="17" t="s">
        <v>7</v>
      </c>
      <c r="F56" s="13">
        <v>59</v>
      </c>
      <c r="G56" s="13">
        <v>8</v>
      </c>
      <c r="H56" s="15"/>
      <c r="I56" s="13">
        <v>1</v>
      </c>
      <c r="J56" s="13"/>
    </row>
    <row r="57" spans="1:15" x14ac:dyDescent="0.35">
      <c r="A57" s="74"/>
      <c r="B57" s="74"/>
      <c r="C57" s="98"/>
      <c r="D57" s="16" t="s">
        <v>198</v>
      </c>
      <c r="E57" s="17" t="s">
        <v>8</v>
      </c>
      <c r="F57" s="13">
        <v>74</v>
      </c>
      <c r="G57" s="13">
        <v>6</v>
      </c>
      <c r="H57" s="13">
        <v>9</v>
      </c>
      <c r="I57" s="13">
        <v>5</v>
      </c>
      <c r="J57" s="13"/>
    </row>
    <row r="58" spans="1:15" x14ac:dyDescent="0.35">
      <c r="A58" s="74"/>
      <c r="B58" s="74"/>
      <c r="C58" s="98"/>
      <c r="D58" s="16" t="s">
        <v>198</v>
      </c>
      <c r="E58" s="17" t="s">
        <v>9</v>
      </c>
      <c r="F58" s="13">
        <v>66</v>
      </c>
      <c r="G58" s="13">
        <v>13</v>
      </c>
      <c r="H58" s="15"/>
      <c r="I58" s="15"/>
      <c r="J58" s="15"/>
      <c r="K58" s="2">
        <f>SUM(F50:F58)</f>
        <v>708</v>
      </c>
      <c r="L58" s="2">
        <f t="shared" ref="L58:N58" si="4">SUM(G50:G58)</f>
        <v>98</v>
      </c>
      <c r="M58" s="2">
        <f t="shared" si="4"/>
        <v>25</v>
      </c>
      <c r="N58" s="2">
        <f t="shared" si="4"/>
        <v>13</v>
      </c>
      <c r="O58" s="2">
        <f>SUM(J50:J58)</f>
        <v>0</v>
      </c>
    </row>
    <row r="59" spans="1:15" x14ac:dyDescent="0.35">
      <c r="A59" s="6" t="s">
        <v>623</v>
      </c>
      <c r="B59" s="6" t="s">
        <v>624</v>
      </c>
      <c r="C59" s="133">
        <v>1975</v>
      </c>
      <c r="D59" s="16" t="s">
        <v>171</v>
      </c>
      <c r="E59" s="17" t="s">
        <v>17</v>
      </c>
      <c r="F59" s="13">
        <v>105</v>
      </c>
      <c r="G59" s="13">
        <v>12</v>
      </c>
      <c r="H59" s="15"/>
      <c r="I59" s="13">
        <v>1</v>
      </c>
      <c r="J59" s="15"/>
    </row>
    <row r="60" spans="1:15" x14ac:dyDescent="0.35">
      <c r="A60" s="74"/>
      <c r="B60" s="74"/>
      <c r="C60" s="98"/>
      <c r="D60" s="16" t="s">
        <v>171</v>
      </c>
      <c r="E60" s="17" t="s">
        <v>2</v>
      </c>
      <c r="F60" s="13">
        <v>234</v>
      </c>
      <c r="G60" s="13">
        <v>31</v>
      </c>
      <c r="H60" s="13">
        <v>4</v>
      </c>
      <c r="I60" s="13">
        <v>5</v>
      </c>
      <c r="J60" s="15"/>
    </row>
    <row r="61" spans="1:15" x14ac:dyDescent="0.35">
      <c r="A61" s="74"/>
      <c r="B61" s="74"/>
      <c r="C61" s="98"/>
      <c r="D61" s="16" t="s">
        <v>171</v>
      </c>
      <c r="E61" s="17" t="s">
        <v>3</v>
      </c>
      <c r="F61" s="13">
        <v>260</v>
      </c>
      <c r="G61" s="13">
        <v>30</v>
      </c>
      <c r="H61" s="13">
        <v>2</v>
      </c>
      <c r="I61" s="13">
        <v>9</v>
      </c>
      <c r="J61" s="15"/>
    </row>
    <row r="62" spans="1:15" x14ac:dyDescent="0.35">
      <c r="A62" s="74"/>
      <c r="B62" s="74"/>
      <c r="C62" s="98"/>
      <c r="D62" s="16" t="s">
        <v>171</v>
      </c>
      <c r="E62" s="17" t="s">
        <v>4</v>
      </c>
      <c r="F62" s="13">
        <v>101</v>
      </c>
      <c r="G62" s="13">
        <v>16</v>
      </c>
      <c r="H62" s="13">
        <v>2</v>
      </c>
      <c r="I62" s="13">
        <v>2</v>
      </c>
      <c r="J62" s="15"/>
    </row>
    <row r="63" spans="1:15" x14ac:dyDescent="0.35">
      <c r="A63" s="74"/>
      <c r="B63" s="74"/>
      <c r="C63" s="98"/>
      <c r="D63" s="16" t="s">
        <v>171</v>
      </c>
      <c r="E63" s="17" t="s">
        <v>5</v>
      </c>
      <c r="F63" s="13">
        <v>46</v>
      </c>
      <c r="G63" s="13">
        <v>10</v>
      </c>
      <c r="H63" s="15"/>
      <c r="I63" s="13">
        <v>2</v>
      </c>
      <c r="J63" s="15"/>
    </row>
    <row r="64" spans="1:15" x14ac:dyDescent="0.35">
      <c r="A64" s="74"/>
      <c r="B64" s="74"/>
      <c r="C64" s="98"/>
      <c r="D64" s="16" t="s">
        <v>171</v>
      </c>
      <c r="E64" s="17" t="s">
        <v>6</v>
      </c>
      <c r="F64" s="13">
        <v>94</v>
      </c>
      <c r="G64" s="13">
        <v>14</v>
      </c>
      <c r="H64" s="13">
        <v>3</v>
      </c>
      <c r="I64" s="13">
        <v>1</v>
      </c>
      <c r="J64" s="15"/>
      <c r="K64" s="2">
        <f>SUM(F59:F64)</f>
        <v>840</v>
      </c>
      <c r="L64" s="2">
        <f t="shared" ref="L64:O64" si="5">SUM(G59:G64)</f>
        <v>113</v>
      </c>
      <c r="M64" s="2">
        <f t="shared" si="5"/>
        <v>11</v>
      </c>
      <c r="N64" s="2">
        <f t="shared" si="5"/>
        <v>20</v>
      </c>
      <c r="O64" s="2">
        <f t="shared" si="5"/>
        <v>0</v>
      </c>
    </row>
    <row r="65" spans="1:15" x14ac:dyDescent="0.35">
      <c r="A65" s="3" t="s">
        <v>657</v>
      </c>
      <c r="B65" s="3" t="s">
        <v>658</v>
      </c>
      <c r="C65" s="132">
        <v>1677</v>
      </c>
      <c r="D65" s="16" t="s">
        <v>200</v>
      </c>
      <c r="E65" s="17" t="s">
        <v>17</v>
      </c>
      <c r="F65" s="12">
        <v>193</v>
      </c>
      <c r="G65" s="12">
        <v>26</v>
      </c>
      <c r="H65" s="12">
        <v>4</v>
      </c>
      <c r="I65" s="12">
        <v>3</v>
      </c>
      <c r="J65" s="14"/>
    </row>
    <row r="66" spans="1:15" x14ac:dyDescent="0.35">
      <c r="A66" s="80"/>
      <c r="B66" s="80"/>
      <c r="C66" s="100"/>
      <c r="D66" s="16" t="s">
        <v>200</v>
      </c>
      <c r="E66" s="17" t="s">
        <v>2</v>
      </c>
      <c r="F66" s="12">
        <v>30</v>
      </c>
      <c r="G66" s="12">
        <v>9</v>
      </c>
      <c r="H66" s="12">
        <v>2</v>
      </c>
      <c r="I66" s="14"/>
      <c r="J66" s="14"/>
    </row>
    <row r="67" spans="1:15" x14ac:dyDescent="0.35">
      <c r="A67" s="80"/>
      <c r="B67" s="80"/>
      <c r="C67" s="100"/>
      <c r="D67" s="16" t="s">
        <v>200</v>
      </c>
      <c r="E67" s="17" t="s">
        <v>3</v>
      </c>
      <c r="F67" s="12">
        <v>49</v>
      </c>
      <c r="G67" s="12">
        <v>20</v>
      </c>
      <c r="H67" s="12">
        <v>4</v>
      </c>
      <c r="I67" s="12">
        <v>3</v>
      </c>
      <c r="J67" s="14"/>
    </row>
    <row r="68" spans="1:15" x14ac:dyDescent="0.35">
      <c r="A68" s="80"/>
      <c r="B68" s="80"/>
      <c r="C68" s="100"/>
      <c r="D68" s="16" t="s">
        <v>200</v>
      </c>
      <c r="E68" s="17" t="s">
        <v>4</v>
      </c>
      <c r="F68" s="12">
        <v>185</v>
      </c>
      <c r="G68" s="12">
        <v>21</v>
      </c>
      <c r="H68" s="12">
        <v>6</v>
      </c>
      <c r="I68" s="12">
        <v>5</v>
      </c>
      <c r="J68" s="14"/>
    </row>
    <row r="69" spans="1:15" x14ac:dyDescent="0.35">
      <c r="A69" s="80"/>
      <c r="B69" s="80"/>
      <c r="C69" s="100"/>
      <c r="D69" s="16" t="s">
        <v>200</v>
      </c>
      <c r="E69" s="17" t="s">
        <v>5</v>
      </c>
      <c r="F69" s="12">
        <v>83</v>
      </c>
      <c r="G69" s="12">
        <v>29</v>
      </c>
      <c r="H69" s="12">
        <v>4</v>
      </c>
      <c r="I69" s="12">
        <v>4</v>
      </c>
      <c r="J69" s="14"/>
    </row>
    <row r="70" spans="1:15" x14ac:dyDescent="0.35">
      <c r="A70" s="80"/>
      <c r="B70" s="80"/>
      <c r="C70" s="100"/>
      <c r="D70" s="16" t="s">
        <v>200</v>
      </c>
      <c r="E70" s="17" t="s">
        <v>6</v>
      </c>
      <c r="F70" s="12">
        <v>104</v>
      </c>
      <c r="G70" s="12">
        <v>26</v>
      </c>
      <c r="H70" s="12">
        <v>2</v>
      </c>
      <c r="I70" s="12">
        <v>1</v>
      </c>
      <c r="J70" s="14"/>
    </row>
    <row r="71" spans="1:15" x14ac:dyDescent="0.35">
      <c r="A71" s="80"/>
      <c r="B71" s="80"/>
      <c r="C71" s="100"/>
      <c r="D71" s="16" t="s">
        <v>200</v>
      </c>
      <c r="E71" s="17" t="s">
        <v>7</v>
      </c>
      <c r="F71" s="12">
        <v>76</v>
      </c>
      <c r="G71" s="12">
        <v>7</v>
      </c>
      <c r="H71" s="14"/>
      <c r="I71" s="12">
        <v>4</v>
      </c>
      <c r="J71" s="14"/>
      <c r="K71" s="2">
        <f>SUM(F65:F71)</f>
        <v>720</v>
      </c>
      <c r="L71" s="2">
        <f t="shared" ref="L71:O71" si="6">SUM(G65:G71)</f>
        <v>138</v>
      </c>
      <c r="M71" s="2">
        <f t="shared" si="6"/>
        <v>22</v>
      </c>
      <c r="N71" s="2">
        <f t="shared" si="6"/>
        <v>20</v>
      </c>
      <c r="O71" s="2">
        <f t="shared" si="6"/>
        <v>0</v>
      </c>
    </row>
    <row r="72" spans="1:15" x14ac:dyDescent="0.35">
      <c r="A72" s="6" t="s">
        <v>625</v>
      </c>
      <c r="B72" s="6" t="s">
        <v>626</v>
      </c>
      <c r="C72" s="133">
        <v>2236</v>
      </c>
      <c r="D72" s="16" t="s">
        <v>201</v>
      </c>
      <c r="E72" s="17" t="s">
        <v>17</v>
      </c>
      <c r="F72" s="13">
        <v>76</v>
      </c>
      <c r="G72" s="13">
        <v>12</v>
      </c>
      <c r="H72" s="13">
        <v>2</v>
      </c>
      <c r="I72" s="13">
        <v>5</v>
      </c>
      <c r="J72" s="15"/>
    </row>
    <row r="73" spans="1:15" x14ac:dyDescent="0.35">
      <c r="A73" s="74"/>
      <c r="B73" s="74"/>
      <c r="C73" s="98"/>
      <c r="D73" s="16" t="s">
        <v>201</v>
      </c>
      <c r="E73" s="17" t="s">
        <v>2</v>
      </c>
      <c r="F73" s="13">
        <v>286</v>
      </c>
      <c r="G73" s="13">
        <v>34</v>
      </c>
      <c r="H73" s="13">
        <v>2</v>
      </c>
      <c r="I73" s="13">
        <v>6</v>
      </c>
      <c r="J73" s="15"/>
    </row>
    <row r="74" spans="1:15" x14ac:dyDescent="0.35">
      <c r="A74" s="74"/>
      <c r="B74" s="74"/>
      <c r="C74" s="98"/>
      <c r="D74" s="16" t="s">
        <v>201</v>
      </c>
      <c r="E74" s="17" t="s">
        <v>3</v>
      </c>
      <c r="F74" s="13">
        <v>240</v>
      </c>
      <c r="G74" s="13">
        <v>38</v>
      </c>
      <c r="H74" s="13">
        <v>10</v>
      </c>
      <c r="I74" s="13">
        <v>6</v>
      </c>
      <c r="J74" s="15"/>
    </row>
    <row r="75" spans="1:15" x14ac:dyDescent="0.35">
      <c r="A75" s="74"/>
      <c r="B75" s="74"/>
      <c r="C75" s="98"/>
      <c r="D75" s="16" t="s">
        <v>201</v>
      </c>
      <c r="E75" s="17" t="s">
        <v>4</v>
      </c>
      <c r="F75" s="13">
        <v>111</v>
      </c>
      <c r="G75" s="13">
        <v>16</v>
      </c>
      <c r="H75" s="13">
        <v>4</v>
      </c>
      <c r="I75" s="13">
        <v>2</v>
      </c>
      <c r="J75" s="15"/>
    </row>
    <row r="76" spans="1:15" x14ac:dyDescent="0.35">
      <c r="A76" s="74"/>
      <c r="B76" s="74"/>
      <c r="C76" s="98"/>
      <c r="D76" s="16" t="s">
        <v>201</v>
      </c>
      <c r="E76" s="17" t="s">
        <v>5</v>
      </c>
      <c r="F76" s="13">
        <v>121</v>
      </c>
      <c r="G76" s="13">
        <v>16</v>
      </c>
      <c r="H76" s="13">
        <v>7</v>
      </c>
      <c r="I76" s="13">
        <v>5</v>
      </c>
      <c r="J76" s="15"/>
    </row>
    <row r="77" spans="1:15" x14ac:dyDescent="0.35">
      <c r="A77" s="74"/>
      <c r="B77" s="74"/>
      <c r="C77" s="98"/>
      <c r="D77" s="16" t="s">
        <v>201</v>
      </c>
      <c r="E77" s="17" t="s">
        <v>6</v>
      </c>
      <c r="F77" s="13">
        <v>57</v>
      </c>
      <c r="G77" s="13">
        <v>9</v>
      </c>
      <c r="H77" s="13">
        <v>4</v>
      </c>
      <c r="I77" s="13">
        <v>3</v>
      </c>
      <c r="J77" s="15"/>
    </row>
    <row r="78" spans="1:15" x14ac:dyDescent="0.35">
      <c r="A78" s="74"/>
      <c r="B78" s="74"/>
      <c r="C78" s="98"/>
      <c r="D78" s="16" t="s">
        <v>201</v>
      </c>
      <c r="E78" s="17" t="s">
        <v>7</v>
      </c>
      <c r="F78" s="13">
        <v>117</v>
      </c>
      <c r="G78" s="13">
        <v>10</v>
      </c>
      <c r="H78" s="13">
        <v>3</v>
      </c>
      <c r="I78" s="13">
        <v>1</v>
      </c>
      <c r="J78" s="15"/>
    </row>
    <row r="79" spans="1:15" x14ac:dyDescent="0.35">
      <c r="A79" s="74"/>
      <c r="B79" s="74"/>
      <c r="C79" s="98"/>
      <c r="D79" s="16" t="s">
        <v>201</v>
      </c>
      <c r="E79" s="17" t="s">
        <v>8</v>
      </c>
      <c r="F79" s="13">
        <v>98</v>
      </c>
      <c r="G79" s="13">
        <v>8</v>
      </c>
      <c r="H79" s="13">
        <v>1</v>
      </c>
      <c r="I79" s="13">
        <v>4</v>
      </c>
      <c r="J79" s="15"/>
      <c r="K79" s="2">
        <f>SUM(F72:F79)</f>
        <v>1106</v>
      </c>
      <c r="L79" s="2">
        <f t="shared" ref="L79:O79" si="7">SUM(G72:G79)</f>
        <v>143</v>
      </c>
      <c r="M79" s="2">
        <f t="shared" si="7"/>
        <v>33</v>
      </c>
      <c r="N79" s="2">
        <f t="shared" si="7"/>
        <v>32</v>
      </c>
      <c r="O79" s="2">
        <f t="shared" si="7"/>
        <v>0</v>
      </c>
    </row>
    <row r="80" spans="1:15" x14ac:dyDescent="0.35">
      <c r="A80" s="3" t="s">
        <v>675</v>
      </c>
      <c r="B80" s="3" t="s">
        <v>676</v>
      </c>
      <c r="C80" s="132">
        <v>3037</v>
      </c>
      <c r="D80" s="16" t="s">
        <v>202</v>
      </c>
      <c r="E80" s="17" t="s">
        <v>17</v>
      </c>
      <c r="F80" s="12">
        <v>517</v>
      </c>
      <c r="G80" s="12">
        <v>308</v>
      </c>
      <c r="H80" s="12">
        <v>26</v>
      </c>
      <c r="I80" s="12">
        <v>32</v>
      </c>
      <c r="J80" s="14"/>
    </row>
    <row r="81" spans="1:15" x14ac:dyDescent="0.35">
      <c r="C81" s="2"/>
      <c r="D81" s="16" t="s">
        <v>202</v>
      </c>
      <c r="E81" s="17" t="s">
        <v>2</v>
      </c>
      <c r="F81" s="12">
        <v>67</v>
      </c>
      <c r="G81" s="12">
        <v>53</v>
      </c>
      <c r="H81" s="12">
        <v>5</v>
      </c>
      <c r="I81" s="12">
        <v>9</v>
      </c>
      <c r="J81" s="14"/>
    </row>
    <row r="82" spans="1:15" x14ac:dyDescent="0.35">
      <c r="C82" s="2"/>
      <c r="D82" s="16" t="s">
        <v>202</v>
      </c>
      <c r="E82" s="17" t="s">
        <v>3</v>
      </c>
      <c r="F82" s="12">
        <v>37</v>
      </c>
      <c r="G82" s="12">
        <v>47</v>
      </c>
      <c r="H82" s="12">
        <v>1</v>
      </c>
      <c r="I82" s="12">
        <v>1</v>
      </c>
      <c r="J82" s="14"/>
    </row>
    <row r="83" spans="1:15" x14ac:dyDescent="0.35">
      <c r="C83" s="2"/>
      <c r="D83" s="16" t="s">
        <v>202</v>
      </c>
      <c r="E83" s="17" t="s">
        <v>4</v>
      </c>
      <c r="F83" s="12">
        <v>106</v>
      </c>
      <c r="G83" s="12">
        <v>43</v>
      </c>
      <c r="H83" s="12">
        <v>6</v>
      </c>
      <c r="I83" s="12">
        <v>1</v>
      </c>
      <c r="J83" s="14"/>
    </row>
    <row r="84" spans="1:15" x14ac:dyDescent="0.35">
      <c r="C84" s="2"/>
      <c r="D84" s="16" t="s">
        <v>202</v>
      </c>
      <c r="E84" s="17" t="s">
        <v>5</v>
      </c>
      <c r="F84" s="12">
        <v>96</v>
      </c>
      <c r="G84" s="12">
        <v>30</v>
      </c>
      <c r="H84" s="12">
        <v>1</v>
      </c>
      <c r="I84" s="12">
        <v>3</v>
      </c>
      <c r="J84" s="14"/>
    </row>
    <row r="85" spans="1:15" x14ac:dyDescent="0.35">
      <c r="C85" s="2"/>
      <c r="D85" s="16" t="s">
        <v>202</v>
      </c>
      <c r="E85" s="17" t="s">
        <v>6</v>
      </c>
      <c r="F85" s="12">
        <v>89</v>
      </c>
      <c r="G85" s="12">
        <v>43</v>
      </c>
      <c r="H85" s="12">
        <v>7</v>
      </c>
      <c r="I85" s="12">
        <v>3</v>
      </c>
      <c r="J85" s="14"/>
    </row>
    <row r="86" spans="1:15" x14ac:dyDescent="0.35">
      <c r="C86" s="2"/>
      <c r="D86" s="16" t="s">
        <v>202</v>
      </c>
      <c r="E86" s="17" t="s">
        <v>7</v>
      </c>
      <c r="F86" s="12">
        <v>60</v>
      </c>
      <c r="G86" s="12">
        <v>67</v>
      </c>
      <c r="H86" s="12">
        <v>1</v>
      </c>
      <c r="I86" s="12">
        <v>4</v>
      </c>
      <c r="J86" s="14"/>
    </row>
    <row r="87" spans="1:15" x14ac:dyDescent="0.35">
      <c r="C87" s="2"/>
      <c r="D87" s="16" t="s">
        <v>202</v>
      </c>
      <c r="E87" s="17" t="s">
        <v>8</v>
      </c>
      <c r="F87" s="12">
        <v>69</v>
      </c>
      <c r="G87" s="12">
        <v>34</v>
      </c>
      <c r="H87" s="12">
        <v>5</v>
      </c>
      <c r="I87" s="12">
        <v>9</v>
      </c>
      <c r="J87" s="14"/>
    </row>
    <row r="88" spans="1:15" x14ac:dyDescent="0.35">
      <c r="C88" s="2"/>
      <c r="D88" s="16" t="s">
        <v>202</v>
      </c>
      <c r="E88" s="17" t="s">
        <v>9</v>
      </c>
      <c r="F88" s="12">
        <v>39</v>
      </c>
      <c r="G88" s="12">
        <v>18</v>
      </c>
      <c r="H88" s="12">
        <v>4</v>
      </c>
      <c r="I88" s="12">
        <v>1</v>
      </c>
      <c r="J88" s="14"/>
    </row>
    <row r="89" spans="1:15" x14ac:dyDescent="0.35">
      <c r="C89" s="2"/>
      <c r="D89" s="16" t="s">
        <v>202</v>
      </c>
      <c r="E89" s="17" t="s">
        <v>11</v>
      </c>
      <c r="F89" s="12">
        <v>43</v>
      </c>
      <c r="G89" s="12">
        <v>19</v>
      </c>
      <c r="H89" s="14"/>
      <c r="I89" s="12">
        <v>4</v>
      </c>
      <c r="J89" s="14"/>
    </row>
    <row r="90" spans="1:15" x14ac:dyDescent="0.35">
      <c r="C90" s="2"/>
      <c r="D90" s="16" t="s">
        <v>202</v>
      </c>
      <c r="E90" s="17" t="s">
        <v>12</v>
      </c>
      <c r="F90" s="12">
        <v>60</v>
      </c>
      <c r="G90" s="12">
        <v>11</v>
      </c>
      <c r="H90" s="12">
        <v>4</v>
      </c>
      <c r="I90" s="12">
        <v>1</v>
      </c>
      <c r="J90" s="14"/>
    </row>
    <row r="91" spans="1:15" x14ac:dyDescent="0.35">
      <c r="C91" s="2"/>
      <c r="D91" s="16" t="s">
        <v>202</v>
      </c>
      <c r="E91" s="17" t="s">
        <v>13</v>
      </c>
      <c r="F91" s="12">
        <v>96</v>
      </c>
      <c r="G91" s="12">
        <v>38</v>
      </c>
      <c r="H91" s="12">
        <v>6</v>
      </c>
      <c r="I91" s="12">
        <v>6</v>
      </c>
      <c r="J91" s="14"/>
      <c r="K91" s="2">
        <f>SUM(F80:F91)</f>
        <v>1279</v>
      </c>
      <c r="L91" s="2">
        <f t="shared" ref="L91:O91" si="8">SUM(G80:G91)</f>
        <v>711</v>
      </c>
      <c r="M91" s="2">
        <f t="shared" si="8"/>
        <v>66</v>
      </c>
      <c r="N91" s="2">
        <f t="shared" si="8"/>
        <v>74</v>
      </c>
      <c r="O91" s="2">
        <f t="shared" si="8"/>
        <v>0</v>
      </c>
    </row>
    <row r="92" spans="1:15" x14ac:dyDescent="0.35">
      <c r="A92" s="6" t="s">
        <v>485</v>
      </c>
      <c r="B92" s="6" t="s">
        <v>486</v>
      </c>
      <c r="C92" s="133">
        <v>1397</v>
      </c>
      <c r="D92" s="16" t="s">
        <v>203</v>
      </c>
      <c r="E92" s="17" t="s">
        <v>17</v>
      </c>
      <c r="F92" s="13">
        <v>61</v>
      </c>
      <c r="G92" s="13">
        <v>9</v>
      </c>
      <c r="H92" s="15"/>
      <c r="I92" s="13">
        <v>3</v>
      </c>
      <c r="J92" s="15"/>
    </row>
    <row r="93" spans="1:15" x14ac:dyDescent="0.35">
      <c r="D93" s="16" t="s">
        <v>203</v>
      </c>
      <c r="E93" s="17" t="s">
        <v>2</v>
      </c>
      <c r="F93" s="13">
        <v>71</v>
      </c>
      <c r="G93" s="13">
        <v>38</v>
      </c>
      <c r="H93" s="13">
        <v>4</v>
      </c>
      <c r="I93" s="13">
        <v>5</v>
      </c>
      <c r="J93" s="15"/>
    </row>
    <row r="94" spans="1:15" x14ac:dyDescent="0.35">
      <c r="D94" s="16" t="s">
        <v>203</v>
      </c>
      <c r="E94" s="17" t="s">
        <v>3</v>
      </c>
      <c r="F94" s="13">
        <v>102</v>
      </c>
      <c r="G94" s="13">
        <v>43</v>
      </c>
      <c r="H94" s="15"/>
      <c r="I94" s="13">
        <v>5</v>
      </c>
      <c r="J94" s="15"/>
    </row>
    <row r="95" spans="1:15" x14ac:dyDescent="0.35">
      <c r="D95" s="16" t="s">
        <v>203</v>
      </c>
      <c r="E95" s="17" t="s">
        <v>4</v>
      </c>
      <c r="F95" s="13">
        <v>31</v>
      </c>
      <c r="G95" s="13">
        <v>16</v>
      </c>
      <c r="H95" s="15"/>
      <c r="I95" s="13">
        <v>3</v>
      </c>
      <c r="J95" s="15"/>
    </row>
    <row r="96" spans="1:15" x14ac:dyDescent="0.35">
      <c r="D96" s="16" t="s">
        <v>203</v>
      </c>
      <c r="E96" s="17" t="s">
        <v>5</v>
      </c>
      <c r="F96" s="13">
        <v>54</v>
      </c>
      <c r="G96" s="13">
        <v>46</v>
      </c>
      <c r="H96" s="13">
        <v>8</v>
      </c>
      <c r="I96" s="13">
        <v>2</v>
      </c>
      <c r="J96" s="15"/>
    </row>
    <row r="97" spans="1:15" x14ac:dyDescent="0.35">
      <c r="D97" s="16" t="s">
        <v>203</v>
      </c>
      <c r="E97" s="17" t="s">
        <v>6</v>
      </c>
      <c r="F97" s="13">
        <v>106</v>
      </c>
      <c r="G97" s="13">
        <v>14</v>
      </c>
      <c r="H97" s="13">
        <v>5</v>
      </c>
      <c r="I97" s="13">
        <v>8</v>
      </c>
      <c r="J97" s="15"/>
    </row>
    <row r="98" spans="1:15" x14ac:dyDescent="0.35">
      <c r="A98" s="3"/>
      <c r="B98" s="3"/>
      <c r="C98" s="132"/>
      <c r="D98" s="16" t="s">
        <v>203</v>
      </c>
      <c r="E98" s="17" t="s">
        <v>7</v>
      </c>
      <c r="F98" s="13">
        <v>80</v>
      </c>
      <c r="G98" s="13">
        <v>25</v>
      </c>
      <c r="H98" s="13">
        <v>1</v>
      </c>
      <c r="I98" s="13">
        <v>3</v>
      </c>
      <c r="J98" s="15"/>
    </row>
    <row r="99" spans="1:15" x14ac:dyDescent="0.35">
      <c r="A99" s="3"/>
      <c r="B99" s="3"/>
      <c r="C99" s="132"/>
      <c r="D99" s="16" t="s">
        <v>203</v>
      </c>
      <c r="E99" s="17" t="s">
        <v>8</v>
      </c>
      <c r="F99" s="13">
        <v>41</v>
      </c>
      <c r="G99" s="13">
        <v>10</v>
      </c>
      <c r="H99" s="13">
        <v>3</v>
      </c>
      <c r="I99" s="13">
        <v>2</v>
      </c>
      <c r="J99" s="15"/>
    </row>
    <row r="100" spans="1:15" x14ac:dyDescent="0.35">
      <c r="A100" s="80"/>
      <c r="B100" s="80"/>
      <c r="C100" s="100"/>
      <c r="D100" s="16" t="s">
        <v>203</v>
      </c>
      <c r="E100" s="17" t="s">
        <v>9</v>
      </c>
      <c r="F100" s="13">
        <v>55</v>
      </c>
      <c r="G100" s="13">
        <v>6</v>
      </c>
      <c r="H100" s="13">
        <v>3</v>
      </c>
      <c r="I100" s="15"/>
      <c r="J100" s="15"/>
      <c r="K100" s="2">
        <f>SUM(F92:F100)</f>
        <v>601</v>
      </c>
      <c r="L100" s="2">
        <f t="shared" ref="L100:O100" si="9">SUM(G92:G100)</f>
        <v>207</v>
      </c>
      <c r="M100" s="2">
        <f t="shared" si="9"/>
        <v>24</v>
      </c>
      <c r="N100" s="2">
        <f t="shared" si="9"/>
        <v>31</v>
      </c>
      <c r="O100" s="2">
        <f t="shared" si="9"/>
        <v>0</v>
      </c>
    </row>
    <row r="101" spans="1:15" x14ac:dyDescent="0.35">
      <c r="A101" s="6" t="s">
        <v>487</v>
      </c>
      <c r="B101" s="6" t="s">
        <v>488</v>
      </c>
      <c r="C101" s="133">
        <v>1230</v>
      </c>
      <c r="D101" s="16" t="s">
        <v>203</v>
      </c>
      <c r="E101" s="17" t="s">
        <v>11</v>
      </c>
      <c r="F101" s="13">
        <v>160</v>
      </c>
      <c r="G101" s="13">
        <v>80</v>
      </c>
      <c r="H101" s="13">
        <v>4</v>
      </c>
      <c r="I101" s="13">
        <v>7</v>
      </c>
      <c r="J101" s="15"/>
    </row>
    <row r="102" spans="1:15" x14ac:dyDescent="0.35">
      <c r="A102" s="6"/>
      <c r="B102" s="6"/>
      <c r="C102" s="133"/>
      <c r="D102" s="16" t="s">
        <v>203</v>
      </c>
      <c r="E102" s="17" t="s">
        <v>12</v>
      </c>
      <c r="F102" s="13">
        <v>107</v>
      </c>
      <c r="G102" s="13">
        <v>18</v>
      </c>
      <c r="H102" s="15"/>
      <c r="I102" s="13">
        <v>1</v>
      </c>
      <c r="J102" s="15"/>
    </row>
    <row r="103" spans="1:15" x14ac:dyDescent="0.35">
      <c r="A103" s="6"/>
      <c r="B103" s="6"/>
      <c r="C103" s="133"/>
      <c r="D103" s="16" t="s">
        <v>203</v>
      </c>
      <c r="E103" s="17" t="s">
        <v>13</v>
      </c>
      <c r="F103" s="13">
        <v>159</v>
      </c>
      <c r="G103" s="13">
        <v>46</v>
      </c>
      <c r="H103" s="13">
        <v>1</v>
      </c>
      <c r="I103" s="13">
        <v>9</v>
      </c>
      <c r="J103" s="15"/>
    </row>
    <row r="104" spans="1:15" x14ac:dyDescent="0.35">
      <c r="A104" s="6"/>
      <c r="B104" s="6"/>
      <c r="C104" s="133"/>
      <c r="D104" s="16" t="s">
        <v>203</v>
      </c>
      <c r="E104" s="17" t="s">
        <v>21</v>
      </c>
      <c r="F104" s="13">
        <v>36</v>
      </c>
      <c r="G104" s="13">
        <v>6</v>
      </c>
      <c r="H104" s="13">
        <v>4</v>
      </c>
      <c r="I104" s="13">
        <v>1</v>
      </c>
      <c r="J104" s="15"/>
    </row>
    <row r="105" spans="1:15" x14ac:dyDescent="0.35">
      <c r="D105" s="16" t="s">
        <v>203</v>
      </c>
      <c r="E105" s="17" t="s">
        <v>22</v>
      </c>
      <c r="F105" s="13">
        <v>121</v>
      </c>
      <c r="G105" s="13">
        <v>30</v>
      </c>
      <c r="H105" s="13">
        <v>4</v>
      </c>
      <c r="I105" s="13">
        <v>2</v>
      </c>
      <c r="J105" s="15"/>
      <c r="K105" s="2">
        <f>SUM(F101:F105)</f>
        <v>583</v>
      </c>
      <c r="L105" s="2">
        <f t="shared" ref="L105:O105" si="10">SUM(G101:G105)</f>
        <v>180</v>
      </c>
      <c r="M105" s="2">
        <f t="shared" si="10"/>
        <v>13</v>
      </c>
      <c r="N105" s="2">
        <f t="shared" si="10"/>
        <v>20</v>
      </c>
      <c r="O105" s="2">
        <f t="shared" si="10"/>
        <v>0</v>
      </c>
    </row>
    <row r="106" spans="1:15" x14ac:dyDescent="0.35">
      <c r="A106" s="3" t="s">
        <v>665</v>
      </c>
      <c r="B106" s="3" t="s">
        <v>666</v>
      </c>
      <c r="C106" s="132">
        <v>2724</v>
      </c>
      <c r="D106" s="16" t="s">
        <v>199</v>
      </c>
      <c r="E106" s="17" t="s">
        <v>5</v>
      </c>
      <c r="F106" s="12">
        <v>33</v>
      </c>
      <c r="G106" s="12">
        <v>10</v>
      </c>
      <c r="H106" s="12">
        <v>1</v>
      </c>
      <c r="I106" s="14"/>
      <c r="J106" s="12">
        <v>1</v>
      </c>
    </row>
    <row r="107" spans="1:15" x14ac:dyDescent="0.35">
      <c r="D107" s="16" t="s">
        <v>199</v>
      </c>
      <c r="E107" s="17" t="s">
        <v>6</v>
      </c>
      <c r="F107" s="12">
        <v>83</v>
      </c>
      <c r="G107" s="12">
        <v>21</v>
      </c>
      <c r="H107" s="12">
        <v>1</v>
      </c>
      <c r="I107" s="12">
        <v>3</v>
      </c>
      <c r="J107" s="12">
        <v>1</v>
      </c>
    </row>
    <row r="108" spans="1:15" x14ac:dyDescent="0.35">
      <c r="D108" s="16" t="s">
        <v>199</v>
      </c>
      <c r="E108" s="17" t="s">
        <v>7</v>
      </c>
      <c r="F108" s="12">
        <v>43</v>
      </c>
      <c r="G108" s="12">
        <v>8</v>
      </c>
      <c r="H108" s="14"/>
      <c r="I108" s="12">
        <v>4</v>
      </c>
      <c r="J108" s="12">
        <v>1</v>
      </c>
    </row>
    <row r="109" spans="1:15" x14ac:dyDescent="0.35">
      <c r="D109" s="16" t="s">
        <v>199</v>
      </c>
      <c r="E109" s="17" t="s">
        <v>8</v>
      </c>
      <c r="F109" s="12">
        <v>51</v>
      </c>
      <c r="G109" s="12">
        <v>21</v>
      </c>
      <c r="H109" s="12">
        <v>8</v>
      </c>
      <c r="I109" s="12">
        <v>3</v>
      </c>
      <c r="J109" s="12">
        <v>1</v>
      </c>
    </row>
    <row r="110" spans="1:15" x14ac:dyDescent="0.35">
      <c r="D110" s="16" t="s">
        <v>199</v>
      </c>
      <c r="E110" s="17" t="s">
        <v>11</v>
      </c>
      <c r="F110" s="12">
        <v>60</v>
      </c>
      <c r="G110" s="12">
        <v>22</v>
      </c>
      <c r="H110" s="12">
        <v>10</v>
      </c>
      <c r="I110" s="12">
        <v>4</v>
      </c>
      <c r="J110" s="12">
        <v>1</v>
      </c>
    </row>
    <row r="111" spans="1:15" x14ac:dyDescent="0.35">
      <c r="C111" s="2"/>
      <c r="D111" s="16" t="s">
        <v>199</v>
      </c>
      <c r="E111" s="17" t="s">
        <v>12</v>
      </c>
      <c r="F111" s="12">
        <v>119</v>
      </c>
      <c r="G111" s="12">
        <v>17</v>
      </c>
      <c r="H111" s="12">
        <v>4</v>
      </c>
      <c r="I111" s="12">
        <v>7</v>
      </c>
      <c r="J111" s="12">
        <v>2</v>
      </c>
      <c r="K111" s="2">
        <f>SUM(F106:F111)</f>
        <v>389</v>
      </c>
      <c r="L111" s="2">
        <f t="shared" ref="L111:O111" si="11">SUM(G106:G111)</f>
        <v>99</v>
      </c>
      <c r="M111" s="2">
        <f t="shared" si="11"/>
        <v>24</v>
      </c>
      <c r="N111" s="2">
        <f t="shared" si="11"/>
        <v>21</v>
      </c>
      <c r="O111" s="2">
        <f t="shared" si="11"/>
        <v>7</v>
      </c>
    </row>
    <row r="112" spans="1:15" x14ac:dyDescent="0.35">
      <c r="A112" s="81" t="s">
        <v>723</v>
      </c>
      <c r="B112" s="81"/>
      <c r="C112" s="106">
        <f>SUM(C12:C110)</f>
        <v>27063</v>
      </c>
      <c r="D112" s="304" t="s">
        <v>231</v>
      </c>
      <c r="E112" s="305"/>
      <c r="F112" s="20">
        <f>SUM(F12:F111)</f>
        <v>10953</v>
      </c>
      <c r="G112" s="20">
        <f>SUM(G12:G111)</f>
        <v>2564</v>
      </c>
      <c r="H112" s="20">
        <f>SUM(H12:H111)</f>
        <v>337</v>
      </c>
      <c r="I112" s="20">
        <f>SUM(I12:I111)</f>
        <v>406</v>
      </c>
      <c r="J112" s="20">
        <f>SUM(J12:J111)</f>
        <v>11</v>
      </c>
    </row>
    <row r="113" spans="1:3" x14ac:dyDescent="0.35">
      <c r="A113" s="306" t="s">
        <v>749</v>
      </c>
      <c r="B113" s="306"/>
      <c r="C113" s="106">
        <f>SUM(C112,F112,G112,H112,I112,J112)</f>
        <v>41334</v>
      </c>
    </row>
  </sheetData>
  <mergeCells count="7">
    <mergeCell ref="A113:B113"/>
    <mergeCell ref="D112:E112"/>
    <mergeCell ref="D1:J1"/>
    <mergeCell ref="D2:J2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3" workbookViewId="0">
      <selection activeCell="B56" sqref="B56"/>
    </sheetView>
  </sheetViews>
  <sheetFormatPr defaultRowHeight="21" x14ac:dyDescent="0.35"/>
  <cols>
    <col min="1" max="1" width="14" style="2" customWidth="1"/>
    <col min="2" max="2" width="18.28515625" style="2" customWidth="1"/>
    <col min="3" max="3" width="19.28515625" style="95" customWidth="1"/>
    <col min="4" max="4" width="10.7109375" style="2" customWidth="1"/>
    <col min="5" max="5" width="9.140625" style="22"/>
    <col min="6" max="6" width="13.140625" style="22" customWidth="1"/>
    <col min="7" max="7" width="10.7109375" style="22" customWidth="1"/>
    <col min="8" max="8" width="13" style="22" customWidth="1"/>
    <col min="9" max="9" width="18.140625" style="22" customWidth="1"/>
    <col min="10" max="10" width="16" style="22" customWidth="1"/>
    <col min="11" max="16384" width="9.140625" style="2"/>
  </cols>
  <sheetData>
    <row r="1" spans="1:15" x14ac:dyDescent="0.35">
      <c r="A1" s="302" t="s">
        <v>750</v>
      </c>
      <c r="B1" s="302"/>
      <c r="C1" s="302"/>
      <c r="D1" s="298" t="s">
        <v>235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A3" s="91"/>
      <c r="B3" s="91"/>
      <c r="C3" s="110"/>
      <c r="D3" s="44"/>
      <c r="E3" s="44"/>
      <c r="F3" s="303" t="s">
        <v>718</v>
      </c>
      <c r="G3" s="303"/>
      <c r="H3" s="303"/>
      <c r="I3" s="303"/>
      <c r="J3" s="303"/>
    </row>
    <row r="4" spans="1:15" x14ac:dyDescent="0.35">
      <c r="A4" s="108" t="s">
        <v>716</v>
      </c>
      <c r="B4" s="108" t="s">
        <v>256</v>
      </c>
      <c r="C4" s="87" t="s">
        <v>717</v>
      </c>
      <c r="D4" s="18" t="s">
        <v>223</v>
      </c>
      <c r="E4" s="60" t="s">
        <v>232</v>
      </c>
      <c r="F4" s="60" t="s">
        <v>218</v>
      </c>
      <c r="G4" s="60" t="s">
        <v>219</v>
      </c>
      <c r="H4" s="60" t="s">
        <v>220</v>
      </c>
      <c r="I4" s="60" t="s">
        <v>226</v>
      </c>
      <c r="J4" s="60" t="s">
        <v>221</v>
      </c>
    </row>
    <row r="5" spans="1:15" x14ac:dyDescent="0.35">
      <c r="A5" s="6" t="s">
        <v>677</v>
      </c>
      <c r="B5" s="6" t="s">
        <v>678</v>
      </c>
      <c r="C5" s="133">
        <v>1609</v>
      </c>
      <c r="D5" s="16" t="s">
        <v>204</v>
      </c>
      <c r="E5" s="17" t="s">
        <v>17</v>
      </c>
      <c r="F5" s="13">
        <v>65</v>
      </c>
      <c r="G5" s="13">
        <v>22</v>
      </c>
      <c r="H5" s="13">
        <v>4</v>
      </c>
      <c r="I5" s="15">
        <v>4</v>
      </c>
      <c r="J5" s="15"/>
    </row>
    <row r="6" spans="1:15" x14ac:dyDescent="0.35">
      <c r="A6" s="74"/>
      <c r="B6" s="74"/>
      <c r="C6" s="98"/>
      <c r="D6" s="16" t="s">
        <v>204</v>
      </c>
      <c r="E6" s="17" t="s">
        <v>2</v>
      </c>
      <c r="F6" s="13">
        <v>62</v>
      </c>
      <c r="G6" s="13">
        <v>9</v>
      </c>
      <c r="H6" s="13">
        <v>4</v>
      </c>
      <c r="I6" s="13">
        <v>2</v>
      </c>
      <c r="J6" s="15"/>
    </row>
    <row r="7" spans="1:15" x14ac:dyDescent="0.35">
      <c r="A7" s="74"/>
      <c r="B7" s="74"/>
      <c r="C7" s="98"/>
      <c r="D7" s="16" t="s">
        <v>204</v>
      </c>
      <c r="E7" s="17" t="s">
        <v>3</v>
      </c>
      <c r="F7" s="13">
        <v>49</v>
      </c>
      <c r="G7" s="13">
        <v>18</v>
      </c>
      <c r="H7" s="15"/>
      <c r="I7" s="15"/>
      <c r="J7" s="15"/>
    </row>
    <row r="8" spans="1:15" x14ac:dyDescent="0.35">
      <c r="A8" s="74"/>
      <c r="B8" s="74"/>
      <c r="C8" s="98"/>
      <c r="D8" s="16" t="s">
        <v>204</v>
      </c>
      <c r="E8" s="17" t="s">
        <v>4</v>
      </c>
      <c r="F8" s="13">
        <v>71</v>
      </c>
      <c r="G8" s="13">
        <v>57</v>
      </c>
      <c r="H8" s="13">
        <v>15</v>
      </c>
      <c r="I8" s="13">
        <v>12</v>
      </c>
      <c r="J8" s="15"/>
    </row>
    <row r="9" spans="1:15" x14ac:dyDescent="0.35">
      <c r="A9" s="74"/>
      <c r="B9" s="74"/>
      <c r="C9" s="98"/>
      <c r="D9" s="16" t="s">
        <v>204</v>
      </c>
      <c r="E9" s="17" t="s">
        <v>5</v>
      </c>
      <c r="F9" s="13">
        <v>58</v>
      </c>
      <c r="G9" s="13">
        <v>15</v>
      </c>
      <c r="H9" s="13">
        <v>7</v>
      </c>
      <c r="I9" s="13">
        <v>2</v>
      </c>
      <c r="J9" s="15"/>
    </row>
    <row r="10" spans="1:15" x14ac:dyDescent="0.35">
      <c r="A10" s="74"/>
      <c r="B10" s="74"/>
      <c r="C10" s="98"/>
      <c r="D10" s="16" t="s">
        <v>204</v>
      </c>
      <c r="E10" s="17" t="s">
        <v>6</v>
      </c>
      <c r="F10" s="13">
        <v>146</v>
      </c>
      <c r="G10" s="13">
        <v>144</v>
      </c>
      <c r="H10" s="13">
        <v>16</v>
      </c>
      <c r="I10" s="13">
        <v>20</v>
      </c>
      <c r="J10" s="15"/>
      <c r="K10" s="2">
        <f>SUM(F5:F10)</f>
        <v>451</v>
      </c>
      <c r="L10" s="2">
        <f t="shared" ref="L10:O10" si="0">SUM(G5:G10)</f>
        <v>265</v>
      </c>
      <c r="M10" s="2">
        <f t="shared" si="0"/>
        <v>46</v>
      </c>
      <c r="N10" s="2">
        <f t="shared" si="0"/>
        <v>40</v>
      </c>
      <c r="O10" s="2">
        <f t="shared" si="0"/>
        <v>0</v>
      </c>
    </row>
    <row r="11" spans="1:15" x14ac:dyDescent="0.35">
      <c r="A11" s="3" t="s">
        <v>681</v>
      </c>
      <c r="B11" s="3" t="s">
        <v>682</v>
      </c>
      <c r="C11" s="132">
        <v>465</v>
      </c>
      <c r="D11" s="16" t="s">
        <v>205</v>
      </c>
      <c r="E11" s="17" t="s">
        <v>17</v>
      </c>
      <c r="F11" s="12">
        <v>31</v>
      </c>
      <c r="G11" s="12">
        <v>22</v>
      </c>
      <c r="H11" s="12">
        <v>1</v>
      </c>
      <c r="I11" s="12">
        <v>1</v>
      </c>
      <c r="J11" s="14"/>
    </row>
    <row r="12" spans="1:15" x14ac:dyDescent="0.35">
      <c r="A12" s="3" t="s">
        <v>683</v>
      </c>
      <c r="B12" s="3" t="s">
        <v>684</v>
      </c>
      <c r="C12" s="132">
        <v>241</v>
      </c>
      <c r="D12" s="16" t="s">
        <v>205</v>
      </c>
      <c r="E12" s="17" t="s">
        <v>2</v>
      </c>
      <c r="F12" s="12">
        <v>78</v>
      </c>
      <c r="G12" s="12">
        <v>30</v>
      </c>
      <c r="H12" s="12">
        <v>4</v>
      </c>
      <c r="I12" s="14"/>
      <c r="J12" s="14"/>
    </row>
    <row r="13" spans="1:15" x14ac:dyDescent="0.35">
      <c r="A13" s="80"/>
      <c r="B13" s="80"/>
      <c r="C13" s="100"/>
      <c r="D13" s="16" t="s">
        <v>205</v>
      </c>
      <c r="E13" s="17" t="s">
        <v>3</v>
      </c>
      <c r="F13" s="12">
        <v>152</v>
      </c>
      <c r="G13" s="12">
        <v>17</v>
      </c>
      <c r="H13" s="12">
        <v>8</v>
      </c>
      <c r="I13" s="12">
        <v>3</v>
      </c>
      <c r="J13" s="14"/>
    </row>
    <row r="14" spans="1:15" x14ac:dyDescent="0.35">
      <c r="A14" s="80"/>
      <c r="B14" s="80"/>
      <c r="C14" s="100"/>
      <c r="D14" s="16" t="s">
        <v>205</v>
      </c>
      <c r="E14" s="17" t="s">
        <v>4</v>
      </c>
      <c r="F14" s="12">
        <v>50</v>
      </c>
      <c r="G14" s="12">
        <v>11</v>
      </c>
      <c r="H14" s="12">
        <v>3</v>
      </c>
      <c r="I14" s="12">
        <v>1</v>
      </c>
      <c r="J14" s="14"/>
    </row>
    <row r="15" spans="1:15" x14ac:dyDescent="0.35">
      <c r="A15" s="80"/>
      <c r="B15" s="80"/>
      <c r="C15" s="100"/>
      <c r="D15" s="16" t="s">
        <v>205</v>
      </c>
      <c r="E15" s="17" t="s">
        <v>5</v>
      </c>
      <c r="F15" s="12">
        <v>60</v>
      </c>
      <c r="G15" s="12">
        <v>21</v>
      </c>
      <c r="H15" s="12">
        <v>1</v>
      </c>
      <c r="I15" s="12">
        <v>3</v>
      </c>
      <c r="J15" s="14"/>
      <c r="K15" s="2">
        <f>SUM(F11:F15)</f>
        <v>371</v>
      </c>
      <c r="L15" s="2">
        <f t="shared" ref="L15:O15" si="1">SUM(G11:G15)</f>
        <v>101</v>
      </c>
      <c r="M15" s="2">
        <f t="shared" si="1"/>
        <v>17</v>
      </c>
      <c r="N15" s="2">
        <f t="shared" si="1"/>
        <v>8</v>
      </c>
      <c r="O15" s="2">
        <f t="shared" si="1"/>
        <v>0</v>
      </c>
    </row>
    <row r="16" spans="1:15" x14ac:dyDescent="0.35">
      <c r="A16" s="6" t="s">
        <v>679</v>
      </c>
      <c r="B16" s="6" t="s">
        <v>680</v>
      </c>
      <c r="C16" s="133">
        <v>767</v>
      </c>
      <c r="D16" s="16" t="s">
        <v>206</v>
      </c>
      <c r="E16" s="17" t="s">
        <v>17</v>
      </c>
      <c r="F16" s="13">
        <v>93</v>
      </c>
      <c r="G16" s="13">
        <v>65</v>
      </c>
      <c r="H16" s="13">
        <v>12</v>
      </c>
      <c r="I16" s="13">
        <v>9</v>
      </c>
      <c r="J16" s="15"/>
    </row>
    <row r="17" spans="1:15" x14ac:dyDescent="0.35">
      <c r="A17" s="74"/>
      <c r="B17" s="74"/>
      <c r="C17" s="98"/>
      <c r="D17" s="16" t="s">
        <v>206</v>
      </c>
      <c r="E17" s="17" t="s">
        <v>2</v>
      </c>
      <c r="F17" s="13">
        <v>64</v>
      </c>
      <c r="G17" s="13">
        <v>28</v>
      </c>
      <c r="H17" s="13">
        <v>2</v>
      </c>
      <c r="I17" s="13">
        <v>5</v>
      </c>
      <c r="J17" s="15"/>
    </row>
    <row r="18" spans="1:15" x14ac:dyDescent="0.35">
      <c r="A18" s="74"/>
      <c r="B18" s="74"/>
      <c r="C18" s="98"/>
      <c r="D18" s="16" t="s">
        <v>206</v>
      </c>
      <c r="E18" s="17" t="s">
        <v>3</v>
      </c>
      <c r="F18" s="13">
        <v>95</v>
      </c>
      <c r="G18" s="13">
        <v>36</v>
      </c>
      <c r="H18" s="13">
        <v>4</v>
      </c>
      <c r="I18" s="15"/>
      <c r="J18" s="15"/>
    </row>
    <row r="19" spans="1:15" x14ac:dyDescent="0.35">
      <c r="A19" s="74"/>
      <c r="B19" s="74"/>
      <c r="C19" s="98"/>
      <c r="D19" s="16" t="s">
        <v>206</v>
      </c>
      <c r="E19" s="17" t="s">
        <v>4</v>
      </c>
      <c r="F19" s="13">
        <v>101</v>
      </c>
      <c r="G19" s="13">
        <v>23</v>
      </c>
      <c r="H19" s="13">
        <v>3</v>
      </c>
      <c r="I19" s="13">
        <v>7</v>
      </c>
      <c r="J19" s="15"/>
      <c r="K19" s="2">
        <f>SUM(F16:F19)</f>
        <v>353</v>
      </c>
      <c r="L19" s="2">
        <f t="shared" ref="L19:O19" si="2">SUM(G16:G19)</f>
        <v>152</v>
      </c>
      <c r="M19" s="2">
        <f t="shared" si="2"/>
        <v>21</v>
      </c>
      <c r="N19" s="2">
        <f t="shared" si="2"/>
        <v>21</v>
      </c>
      <c r="O19" s="2">
        <f t="shared" si="2"/>
        <v>0</v>
      </c>
    </row>
    <row r="20" spans="1:15" x14ac:dyDescent="0.35">
      <c r="A20" s="3" t="s">
        <v>685</v>
      </c>
      <c r="B20" s="3" t="s">
        <v>379</v>
      </c>
      <c r="C20" s="132">
        <v>755</v>
      </c>
      <c r="D20" s="16" t="s">
        <v>90</v>
      </c>
      <c r="E20" s="17" t="s">
        <v>17</v>
      </c>
      <c r="F20" s="12">
        <v>76</v>
      </c>
      <c r="G20" s="12">
        <v>23</v>
      </c>
      <c r="H20" s="12">
        <v>2</v>
      </c>
      <c r="I20" s="12">
        <v>4</v>
      </c>
      <c r="J20" s="14"/>
    </row>
    <row r="21" spans="1:15" x14ac:dyDescent="0.35">
      <c r="A21" s="80"/>
      <c r="B21" s="80"/>
      <c r="C21" s="100"/>
      <c r="D21" s="16" t="s">
        <v>90</v>
      </c>
      <c r="E21" s="17" t="s">
        <v>2</v>
      </c>
      <c r="F21" s="12">
        <v>101</v>
      </c>
      <c r="G21" s="12">
        <v>56</v>
      </c>
      <c r="H21" s="12">
        <v>7</v>
      </c>
      <c r="I21" s="12">
        <v>3</v>
      </c>
      <c r="J21" s="14"/>
    </row>
    <row r="22" spans="1:15" x14ac:dyDescent="0.35">
      <c r="A22" s="80"/>
      <c r="B22" s="80"/>
      <c r="C22" s="100"/>
      <c r="D22" s="16" t="s">
        <v>90</v>
      </c>
      <c r="E22" s="17" t="s">
        <v>3</v>
      </c>
      <c r="F22" s="12">
        <v>104</v>
      </c>
      <c r="G22" s="12">
        <v>17</v>
      </c>
      <c r="H22" s="12">
        <v>6</v>
      </c>
      <c r="I22" s="12">
        <v>4</v>
      </c>
      <c r="J22" s="14"/>
    </row>
    <row r="23" spans="1:15" x14ac:dyDescent="0.35">
      <c r="A23" s="80"/>
      <c r="B23" s="80"/>
      <c r="C23" s="100"/>
      <c r="D23" s="16" t="s">
        <v>90</v>
      </c>
      <c r="E23" s="17" t="s">
        <v>4</v>
      </c>
      <c r="F23" s="12">
        <v>43</v>
      </c>
      <c r="G23" s="12">
        <v>14</v>
      </c>
      <c r="H23" s="12">
        <v>2</v>
      </c>
      <c r="I23" s="14"/>
      <c r="J23" s="14"/>
      <c r="K23" s="2">
        <f>SUM(F20:F23)</f>
        <v>324</v>
      </c>
      <c r="L23" s="2">
        <f t="shared" ref="L23" si="3">SUM(G20:G23)</f>
        <v>110</v>
      </c>
      <c r="M23" s="2">
        <f t="shared" ref="M23" si="4">SUM(H20:H23)</f>
        <v>17</v>
      </c>
      <c r="N23" s="2">
        <f t="shared" ref="N23" si="5">SUM(I20:I23)</f>
        <v>11</v>
      </c>
      <c r="O23" s="2">
        <f t="shared" ref="O23" si="6">SUM(J20:J23)</f>
        <v>0</v>
      </c>
    </row>
    <row r="24" spans="1:15" x14ac:dyDescent="0.35">
      <c r="A24" s="6" t="s">
        <v>686</v>
      </c>
      <c r="B24" s="6" t="s">
        <v>687</v>
      </c>
      <c r="C24" s="133">
        <v>1109</v>
      </c>
      <c r="D24" s="16" t="s">
        <v>207</v>
      </c>
      <c r="E24" s="17" t="s">
        <v>17</v>
      </c>
      <c r="F24" s="13">
        <v>158</v>
      </c>
      <c r="G24" s="13">
        <v>31</v>
      </c>
      <c r="H24" s="13">
        <v>6</v>
      </c>
      <c r="I24" s="13">
        <v>6</v>
      </c>
      <c r="J24" s="15"/>
    </row>
    <row r="25" spans="1:15" x14ac:dyDescent="0.35">
      <c r="A25" s="74"/>
      <c r="B25" s="74"/>
      <c r="C25" s="98"/>
      <c r="D25" s="16" t="s">
        <v>207</v>
      </c>
      <c r="E25" s="17" t="s">
        <v>2</v>
      </c>
      <c r="F25" s="13">
        <v>67</v>
      </c>
      <c r="G25" s="13">
        <v>37</v>
      </c>
      <c r="H25" s="13">
        <v>1</v>
      </c>
      <c r="I25" s="13">
        <v>2</v>
      </c>
      <c r="J25" s="15"/>
    </row>
    <row r="26" spans="1:15" x14ac:dyDescent="0.35">
      <c r="A26" s="74"/>
      <c r="B26" s="74"/>
      <c r="C26" s="98"/>
      <c r="D26" s="16" t="s">
        <v>207</v>
      </c>
      <c r="E26" s="17" t="s">
        <v>3</v>
      </c>
      <c r="F26" s="13">
        <v>42</v>
      </c>
      <c r="G26" s="13">
        <v>14</v>
      </c>
      <c r="H26" s="13">
        <v>6</v>
      </c>
      <c r="I26" s="13">
        <v>1</v>
      </c>
      <c r="J26" s="15"/>
    </row>
    <row r="27" spans="1:15" x14ac:dyDescent="0.35">
      <c r="A27" s="74"/>
      <c r="B27" s="74"/>
      <c r="C27" s="98"/>
      <c r="D27" s="16" t="s">
        <v>207</v>
      </c>
      <c r="E27" s="17" t="s">
        <v>4</v>
      </c>
      <c r="F27" s="13">
        <v>97</v>
      </c>
      <c r="G27" s="13">
        <v>40</v>
      </c>
      <c r="H27" s="13">
        <v>13</v>
      </c>
      <c r="I27" s="13">
        <v>12</v>
      </c>
      <c r="J27" s="15"/>
    </row>
    <row r="28" spans="1:15" x14ac:dyDescent="0.35">
      <c r="A28" s="74"/>
      <c r="B28" s="74"/>
      <c r="C28" s="98"/>
      <c r="D28" s="16" t="s">
        <v>207</v>
      </c>
      <c r="E28" s="17" t="s">
        <v>5</v>
      </c>
      <c r="F28" s="13">
        <v>123</v>
      </c>
      <c r="G28" s="13">
        <v>50</v>
      </c>
      <c r="H28" s="13">
        <v>5</v>
      </c>
      <c r="I28" s="13">
        <v>6</v>
      </c>
      <c r="J28" s="15"/>
      <c r="K28" s="2">
        <f>SUM(F24:F28)</f>
        <v>487</v>
      </c>
      <c r="L28" s="2">
        <f t="shared" ref="L28:O28" si="7">SUM(G24:G28)</f>
        <v>172</v>
      </c>
      <c r="M28" s="2">
        <f t="shared" si="7"/>
        <v>31</v>
      </c>
      <c r="N28" s="2">
        <f t="shared" si="7"/>
        <v>27</v>
      </c>
      <c r="O28" s="2">
        <f t="shared" si="7"/>
        <v>0</v>
      </c>
    </row>
    <row r="29" spans="1:15" x14ac:dyDescent="0.35">
      <c r="A29" s="3" t="s">
        <v>688</v>
      </c>
      <c r="B29" s="3" t="s">
        <v>689</v>
      </c>
      <c r="C29" s="132">
        <v>967</v>
      </c>
      <c r="D29" s="16" t="s">
        <v>208</v>
      </c>
      <c r="E29" s="17" t="s">
        <v>17</v>
      </c>
      <c r="F29" s="12">
        <v>140</v>
      </c>
      <c r="G29" s="12">
        <v>97</v>
      </c>
      <c r="H29" s="12">
        <v>17</v>
      </c>
      <c r="I29" s="12">
        <v>7</v>
      </c>
      <c r="J29" s="14"/>
    </row>
    <row r="30" spans="1:15" x14ac:dyDescent="0.35">
      <c r="A30" s="80"/>
      <c r="B30" s="80"/>
      <c r="C30" s="100"/>
      <c r="D30" s="16" t="s">
        <v>208</v>
      </c>
      <c r="E30" s="17" t="s">
        <v>2</v>
      </c>
      <c r="F30" s="12">
        <v>126</v>
      </c>
      <c r="G30" s="12">
        <v>50</v>
      </c>
      <c r="H30" s="12">
        <v>7</v>
      </c>
      <c r="I30" s="12">
        <v>4</v>
      </c>
      <c r="J30" s="14"/>
    </row>
    <row r="31" spans="1:15" x14ac:dyDescent="0.35">
      <c r="A31" s="80"/>
      <c r="B31" s="80"/>
      <c r="C31" s="100"/>
      <c r="D31" s="16" t="s">
        <v>208</v>
      </c>
      <c r="E31" s="17" t="s">
        <v>3</v>
      </c>
      <c r="F31" s="12">
        <v>47</v>
      </c>
      <c r="G31" s="12">
        <v>22</v>
      </c>
      <c r="H31" s="12">
        <v>1</v>
      </c>
      <c r="I31" s="12">
        <v>3</v>
      </c>
      <c r="J31" s="14"/>
    </row>
    <row r="32" spans="1:15" x14ac:dyDescent="0.35">
      <c r="A32" s="80"/>
      <c r="B32" s="80"/>
      <c r="C32" s="100"/>
      <c r="D32" s="16" t="s">
        <v>208</v>
      </c>
      <c r="E32" s="17" t="s">
        <v>4</v>
      </c>
      <c r="F32" s="12">
        <v>80</v>
      </c>
      <c r="G32" s="12">
        <v>36</v>
      </c>
      <c r="H32" s="12">
        <v>2</v>
      </c>
      <c r="I32" s="12">
        <v>2</v>
      </c>
      <c r="J32" s="14"/>
      <c r="K32" s="2">
        <f>SUM(F29:F32)</f>
        <v>393</v>
      </c>
      <c r="L32" s="2">
        <f t="shared" ref="L32:O32" si="8">SUM(G29:G32)</f>
        <v>205</v>
      </c>
      <c r="M32" s="2">
        <f t="shared" si="8"/>
        <v>27</v>
      </c>
      <c r="N32" s="2">
        <f t="shared" si="8"/>
        <v>16</v>
      </c>
      <c r="O32" s="2">
        <f t="shared" si="8"/>
        <v>0</v>
      </c>
    </row>
    <row r="33" spans="1:15" x14ac:dyDescent="0.35">
      <c r="A33" s="6" t="s">
        <v>690</v>
      </c>
      <c r="B33" s="6" t="s">
        <v>691</v>
      </c>
      <c r="C33" s="133">
        <v>837</v>
      </c>
      <c r="D33" s="16" t="s">
        <v>209</v>
      </c>
      <c r="E33" s="17" t="s">
        <v>17</v>
      </c>
      <c r="F33" s="13">
        <v>38</v>
      </c>
      <c r="G33" s="13">
        <v>13</v>
      </c>
      <c r="H33" s="15"/>
      <c r="I33" s="13">
        <v>6</v>
      </c>
      <c r="J33" s="15"/>
    </row>
    <row r="34" spans="1:15" x14ac:dyDescent="0.35">
      <c r="A34" s="74"/>
      <c r="B34" s="74"/>
      <c r="C34" s="98"/>
      <c r="D34" s="16" t="s">
        <v>209</v>
      </c>
      <c r="E34" s="17" t="s">
        <v>2</v>
      </c>
      <c r="F34" s="13">
        <v>69</v>
      </c>
      <c r="G34" s="13">
        <v>37</v>
      </c>
      <c r="H34" s="13">
        <v>4</v>
      </c>
      <c r="I34" s="13">
        <v>7</v>
      </c>
      <c r="J34" s="13">
        <v>1</v>
      </c>
    </row>
    <row r="35" spans="1:15" x14ac:dyDescent="0.35">
      <c r="A35" s="74"/>
      <c r="B35" s="74"/>
      <c r="C35" s="98"/>
      <c r="D35" s="16" t="s">
        <v>209</v>
      </c>
      <c r="E35" s="17" t="s">
        <v>3</v>
      </c>
      <c r="F35" s="13">
        <v>126</v>
      </c>
      <c r="G35" s="13">
        <v>44</v>
      </c>
      <c r="H35" s="13">
        <v>3</v>
      </c>
      <c r="I35" s="13">
        <v>2</v>
      </c>
      <c r="J35" s="15"/>
    </row>
    <row r="36" spans="1:15" x14ac:dyDescent="0.35">
      <c r="A36" s="74"/>
      <c r="B36" s="74"/>
      <c r="C36" s="98"/>
      <c r="D36" s="16" t="s">
        <v>209</v>
      </c>
      <c r="E36" s="17" t="s">
        <v>4</v>
      </c>
      <c r="F36" s="13">
        <v>66</v>
      </c>
      <c r="G36" s="13">
        <v>27</v>
      </c>
      <c r="H36" s="13">
        <v>4</v>
      </c>
      <c r="I36" s="13">
        <v>4</v>
      </c>
      <c r="J36" s="15"/>
    </row>
    <row r="37" spans="1:15" x14ac:dyDescent="0.35">
      <c r="A37" s="74"/>
      <c r="B37" s="74"/>
      <c r="C37" s="98"/>
      <c r="D37" s="16" t="s">
        <v>209</v>
      </c>
      <c r="E37" s="17" t="s">
        <v>5</v>
      </c>
      <c r="F37" s="13">
        <v>46</v>
      </c>
      <c r="G37" s="13">
        <v>27</v>
      </c>
      <c r="H37" s="13">
        <v>1</v>
      </c>
      <c r="I37" s="13">
        <v>3</v>
      </c>
      <c r="J37" s="15"/>
      <c r="K37" s="2">
        <f>SUM(F33:F37)</f>
        <v>345</v>
      </c>
      <c r="L37" s="2">
        <f t="shared" ref="L37:O37" si="9">SUM(G33:G37)</f>
        <v>148</v>
      </c>
      <c r="M37" s="2">
        <f t="shared" si="9"/>
        <v>12</v>
      </c>
      <c r="N37" s="2">
        <f t="shared" si="9"/>
        <v>22</v>
      </c>
      <c r="O37" s="2">
        <f t="shared" si="9"/>
        <v>1</v>
      </c>
    </row>
    <row r="38" spans="1:15" x14ac:dyDescent="0.35">
      <c r="A38" s="3" t="s">
        <v>692</v>
      </c>
      <c r="B38" s="3" t="s">
        <v>693</v>
      </c>
      <c r="C38" s="132">
        <v>925</v>
      </c>
      <c r="D38" s="16" t="s">
        <v>210</v>
      </c>
      <c r="E38" s="17" t="s">
        <v>17</v>
      </c>
      <c r="F38" s="12">
        <v>74</v>
      </c>
      <c r="G38" s="12">
        <v>54</v>
      </c>
      <c r="H38" s="12">
        <v>12</v>
      </c>
      <c r="I38" s="12">
        <v>7</v>
      </c>
      <c r="J38" s="12">
        <v>1</v>
      </c>
    </row>
    <row r="39" spans="1:15" x14ac:dyDescent="0.35">
      <c r="A39" s="80"/>
      <c r="B39" s="80"/>
      <c r="C39" s="100"/>
      <c r="D39" s="16" t="s">
        <v>210</v>
      </c>
      <c r="E39" s="17" t="s">
        <v>2</v>
      </c>
      <c r="F39" s="12">
        <v>105</v>
      </c>
      <c r="G39" s="12">
        <v>36</v>
      </c>
      <c r="H39" s="12">
        <v>2</v>
      </c>
      <c r="I39" s="12">
        <v>5</v>
      </c>
      <c r="J39" s="14"/>
    </row>
    <row r="40" spans="1:15" x14ac:dyDescent="0.35">
      <c r="A40" s="80"/>
      <c r="B40" s="80"/>
      <c r="C40" s="100"/>
      <c r="D40" s="16" t="s">
        <v>210</v>
      </c>
      <c r="E40" s="17" t="s">
        <v>3</v>
      </c>
      <c r="F40" s="12">
        <v>38</v>
      </c>
      <c r="G40" s="12">
        <v>15</v>
      </c>
      <c r="H40" s="12">
        <v>3</v>
      </c>
      <c r="I40" s="12">
        <v>1</v>
      </c>
      <c r="J40" s="14"/>
    </row>
    <row r="41" spans="1:15" x14ac:dyDescent="0.35">
      <c r="A41" s="80"/>
      <c r="B41" s="80"/>
      <c r="C41" s="100"/>
      <c r="D41" s="16" t="s">
        <v>210</v>
      </c>
      <c r="E41" s="17" t="s">
        <v>4</v>
      </c>
      <c r="F41" s="12">
        <v>45</v>
      </c>
      <c r="G41" s="12">
        <v>38</v>
      </c>
      <c r="H41" s="12">
        <v>1</v>
      </c>
      <c r="I41" s="12">
        <v>6</v>
      </c>
      <c r="J41" s="14"/>
    </row>
    <row r="42" spans="1:15" x14ac:dyDescent="0.35">
      <c r="A42" s="80"/>
      <c r="B42" s="80"/>
      <c r="C42" s="100"/>
      <c r="D42" s="16" t="s">
        <v>210</v>
      </c>
      <c r="E42" s="17" t="s">
        <v>5</v>
      </c>
      <c r="F42" s="12">
        <v>45</v>
      </c>
      <c r="G42" s="12">
        <v>36</v>
      </c>
      <c r="H42" s="12">
        <v>11</v>
      </c>
      <c r="I42" s="12">
        <v>3</v>
      </c>
      <c r="J42" s="14"/>
    </row>
    <row r="43" spans="1:15" x14ac:dyDescent="0.35">
      <c r="A43" s="80"/>
      <c r="B43" s="80"/>
      <c r="C43" s="100"/>
      <c r="D43" s="16" t="s">
        <v>210</v>
      </c>
      <c r="E43" s="17" t="s">
        <v>6</v>
      </c>
      <c r="F43" s="12">
        <v>70</v>
      </c>
      <c r="G43" s="12">
        <v>13</v>
      </c>
      <c r="H43" s="14"/>
      <c r="I43" s="12">
        <v>3</v>
      </c>
      <c r="J43" s="14"/>
    </row>
    <row r="44" spans="1:15" x14ac:dyDescent="0.35">
      <c r="A44" s="80"/>
      <c r="B44" s="80"/>
      <c r="C44" s="100"/>
      <c r="D44" s="16" t="s">
        <v>210</v>
      </c>
      <c r="E44" s="17" t="s">
        <v>7</v>
      </c>
      <c r="F44" s="12">
        <v>58</v>
      </c>
      <c r="G44" s="12">
        <v>10</v>
      </c>
      <c r="H44" s="12">
        <v>10</v>
      </c>
      <c r="I44" s="12">
        <v>3</v>
      </c>
      <c r="J44" s="14"/>
      <c r="K44" s="2">
        <f>SUM(F38:F44)</f>
        <v>435</v>
      </c>
      <c r="L44" s="2">
        <f t="shared" ref="L44:O44" si="10">SUM(G38:G44)</f>
        <v>202</v>
      </c>
      <c r="M44" s="2">
        <f t="shared" si="10"/>
        <v>39</v>
      </c>
      <c r="N44" s="2">
        <f t="shared" si="10"/>
        <v>28</v>
      </c>
      <c r="O44" s="2">
        <f t="shared" si="10"/>
        <v>1</v>
      </c>
    </row>
    <row r="45" spans="1:15" x14ac:dyDescent="0.35">
      <c r="A45" s="6" t="s">
        <v>694</v>
      </c>
      <c r="B45" s="6" t="s">
        <v>695</v>
      </c>
      <c r="C45" s="133">
        <v>2292</v>
      </c>
      <c r="D45" s="16" t="s">
        <v>211</v>
      </c>
      <c r="E45" s="17" t="s">
        <v>17</v>
      </c>
      <c r="F45" s="13">
        <v>103</v>
      </c>
      <c r="G45" s="13">
        <v>37</v>
      </c>
      <c r="H45" s="13">
        <v>5</v>
      </c>
      <c r="I45" s="13">
        <v>6</v>
      </c>
      <c r="J45" s="15"/>
    </row>
    <row r="46" spans="1:15" x14ac:dyDescent="0.35">
      <c r="A46" s="74"/>
      <c r="B46" s="74"/>
      <c r="C46" s="98"/>
      <c r="D46" s="16" t="s">
        <v>211</v>
      </c>
      <c r="E46" s="17" t="s">
        <v>2</v>
      </c>
      <c r="F46" s="13">
        <v>117</v>
      </c>
      <c r="G46" s="13">
        <v>47</v>
      </c>
      <c r="H46" s="13">
        <v>10</v>
      </c>
      <c r="I46" s="13">
        <v>11</v>
      </c>
      <c r="J46" s="15"/>
    </row>
    <row r="47" spans="1:15" x14ac:dyDescent="0.35">
      <c r="A47" s="74"/>
      <c r="B47" s="74"/>
      <c r="C47" s="98"/>
      <c r="D47" s="16" t="s">
        <v>211</v>
      </c>
      <c r="E47" s="17" t="s">
        <v>3</v>
      </c>
      <c r="F47" s="13">
        <v>93</v>
      </c>
      <c r="G47" s="13">
        <v>51</v>
      </c>
      <c r="H47" s="13">
        <v>1</v>
      </c>
      <c r="I47" s="13">
        <v>5</v>
      </c>
      <c r="J47" s="15"/>
    </row>
    <row r="48" spans="1:15" x14ac:dyDescent="0.35">
      <c r="A48" s="74"/>
      <c r="B48" s="74"/>
      <c r="C48" s="98"/>
      <c r="D48" s="16" t="s">
        <v>211</v>
      </c>
      <c r="E48" s="17" t="s">
        <v>4</v>
      </c>
      <c r="F48" s="13">
        <v>234</v>
      </c>
      <c r="G48" s="13">
        <v>41</v>
      </c>
      <c r="H48" s="13">
        <v>5</v>
      </c>
      <c r="I48" s="13">
        <v>7</v>
      </c>
      <c r="J48" s="15"/>
    </row>
    <row r="49" spans="1:15" x14ac:dyDescent="0.35">
      <c r="A49" s="74"/>
      <c r="B49" s="74"/>
      <c r="C49" s="98"/>
      <c r="D49" s="16" t="s">
        <v>211</v>
      </c>
      <c r="E49" s="17" t="s">
        <v>5</v>
      </c>
      <c r="F49" s="13">
        <v>214</v>
      </c>
      <c r="G49" s="13">
        <v>66</v>
      </c>
      <c r="H49" s="13">
        <v>10</v>
      </c>
      <c r="I49" s="13">
        <v>8</v>
      </c>
      <c r="J49" s="15"/>
    </row>
    <row r="50" spans="1:15" x14ac:dyDescent="0.35">
      <c r="A50" s="74"/>
      <c r="B50" s="74"/>
      <c r="C50" s="98"/>
      <c r="D50" s="16" t="s">
        <v>211</v>
      </c>
      <c r="E50" s="17" t="s">
        <v>6</v>
      </c>
      <c r="F50" s="13">
        <v>78</v>
      </c>
      <c r="G50" s="13">
        <v>37</v>
      </c>
      <c r="H50" s="15"/>
      <c r="I50" s="13">
        <v>3</v>
      </c>
      <c r="J50" s="15"/>
      <c r="K50" s="2">
        <f>SUM(F45:F50)</f>
        <v>839</v>
      </c>
      <c r="L50" s="2">
        <f t="shared" ref="L50:O50" si="11">SUM(G45:G50)</f>
        <v>279</v>
      </c>
      <c r="M50" s="2">
        <f t="shared" si="11"/>
        <v>31</v>
      </c>
      <c r="N50" s="2">
        <f t="shared" si="11"/>
        <v>40</v>
      </c>
      <c r="O50" s="2">
        <f t="shared" si="11"/>
        <v>0</v>
      </c>
    </row>
    <row r="51" spans="1:15" x14ac:dyDescent="0.35">
      <c r="A51" s="3" t="s">
        <v>696</v>
      </c>
      <c r="B51" s="3" t="s">
        <v>697</v>
      </c>
      <c r="C51" s="132">
        <v>1114</v>
      </c>
      <c r="D51" s="16" t="s">
        <v>212</v>
      </c>
      <c r="E51" s="17" t="s">
        <v>17</v>
      </c>
      <c r="F51" s="12">
        <v>147</v>
      </c>
      <c r="G51" s="12">
        <v>81</v>
      </c>
      <c r="H51" s="12">
        <v>8</v>
      </c>
      <c r="I51" s="12">
        <v>7</v>
      </c>
      <c r="J51" s="12">
        <v>1</v>
      </c>
    </row>
    <row r="52" spans="1:15" x14ac:dyDescent="0.35">
      <c r="A52" s="80"/>
      <c r="B52" s="80"/>
      <c r="C52" s="100"/>
      <c r="D52" s="16" t="s">
        <v>212</v>
      </c>
      <c r="E52" s="17" t="s">
        <v>2</v>
      </c>
      <c r="F52" s="12">
        <v>80</v>
      </c>
      <c r="G52" s="12">
        <v>47</v>
      </c>
      <c r="H52" s="12">
        <v>3</v>
      </c>
      <c r="I52" s="12">
        <v>6</v>
      </c>
      <c r="J52" s="12">
        <v>2</v>
      </c>
    </row>
    <row r="53" spans="1:15" x14ac:dyDescent="0.35">
      <c r="A53" s="80"/>
      <c r="B53" s="80"/>
      <c r="C53" s="100"/>
      <c r="D53" s="16" t="s">
        <v>212</v>
      </c>
      <c r="E53" s="17" t="s">
        <v>3</v>
      </c>
      <c r="F53" s="12">
        <v>205</v>
      </c>
      <c r="G53" s="12">
        <v>80</v>
      </c>
      <c r="H53" s="12">
        <v>15</v>
      </c>
      <c r="I53" s="12">
        <v>14</v>
      </c>
      <c r="J53" s="14"/>
    </row>
    <row r="54" spans="1:15" x14ac:dyDescent="0.35">
      <c r="A54" s="80"/>
      <c r="B54" s="80"/>
      <c r="C54" s="100"/>
      <c r="D54" s="16" t="s">
        <v>212</v>
      </c>
      <c r="E54" s="17" t="s">
        <v>4</v>
      </c>
      <c r="F54" s="12">
        <v>62</v>
      </c>
      <c r="G54" s="12">
        <v>24</v>
      </c>
      <c r="H54" s="12">
        <v>3</v>
      </c>
      <c r="I54" s="12">
        <v>2</v>
      </c>
      <c r="J54" s="14"/>
      <c r="K54" s="2">
        <f>SUM(F51:F54)</f>
        <v>494</v>
      </c>
      <c r="L54" s="2">
        <f t="shared" ref="L54:O54" si="12">SUM(G51:G54)</f>
        <v>232</v>
      </c>
      <c r="M54" s="2">
        <f t="shared" si="12"/>
        <v>29</v>
      </c>
      <c r="N54" s="2">
        <f t="shared" si="12"/>
        <v>29</v>
      </c>
      <c r="O54" s="2">
        <f t="shared" si="12"/>
        <v>3</v>
      </c>
    </row>
    <row r="55" spans="1:15" x14ac:dyDescent="0.35">
      <c r="A55" s="6" t="s">
        <v>698</v>
      </c>
      <c r="B55" s="6" t="s">
        <v>699</v>
      </c>
      <c r="C55" s="133">
        <v>1330</v>
      </c>
      <c r="D55" s="16" t="s">
        <v>213</v>
      </c>
      <c r="E55" s="17" t="s">
        <v>17</v>
      </c>
      <c r="F55" s="13">
        <v>161</v>
      </c>
      <c r="G55" s="13">
        <v>45</v>
      </c>
      <c r="H55" s="13">
        <v>11</v>
      </c>
      <c r="I55" s="13">
        <v>14</v>
      </c>
      <c r="J55" s="13">
        <v>2</v>
      </c>
    </row>
    <row r="56" spans="1:15" x14ac:dyDescent="0.35">
      <c r="A56" s="74"/>
      <c r="B56" s="74"/>
      <c r="C56" s="98"/>
      <c r="D56" s="16" t="s">
        <v>213</v>
      </c>
      <c r="E56" s="17" t="s">
        <v>2</v>
      </c>
      <c r="F56" s="13">
        <v>94</v>
      </c>
      <c r="G56" s="13">
        <v>25</v>
      </c>
      <c r="H56" s="13">
        <v>2</v>
      </c>
      <c r="I56" s="13">
        <v>5</v>
      </c>
      <c r="J56" s="15"/>
    </row>
    <row r="57" spans="1:15" x14ac:dyDescent="0.35">
      <c r="A57" s="74"/>
      <c r="B57" s="74"/>
      <c r="C57" s="98"/>
      <c r="D57" s="16" t="s">
        <v>213</v>
      </c>
      <c r="E57" s="17" t="s">
        <v>3</v>
      </c>
      <c r="F57" s="13">
        <v>98</v>
      </c>
      <c r="G57" s="13">
        <v>34</v>
      </c>
      <c r="H57" s="13">
        <v>7</v>
      </c>
      <c r="I57" s="13">
        <v>4</v>
      </c>
      <c r="J57" s="13">
        <v>1</v>
      </c>
    </row>
    <row r="58" spans="1:15" x14ac:dyDescent="0.35">
      <c r="A58" s="74"/>
      <c r="B58" s="74"/>
      <c r="C58" s="98"/>
      <c r="D58" s="16" t="s">
        <v>213</v>
      </c>
      <c r="E58" s="17" t="s">
        <v>4</v>
      </c>
      <c r="F58" s="13">
        <v>137</v>
      </c>
      <c r="G58" s="13">
        <v>68</v>
      </c>
      <c r="H58" s="13">
        <v>12</v>
      </c>
      <c r="I58" s="13">
        <v>10</v>
      </c>
      <c r="J58" s="15"/>
      <c r="K58" s="2">
        <f>SUM(F55:F58)</f>
        <v>490</v>
      </c>
      <c r="L58" s="2">
        <f t="shared" ref="L58" si="13">SUM(G55:G58)</f>
        <v>172</v>
      </c>
      <c r="M58" s="2">
        <f t="shared" ref="M58" si="14">SUM(H55:H58)</f>
        <v>32</v>
      </c>
      <c r="N58" s="2">
        <f t="shared" ref="N58" si="15">SUM(I55:I58)</f>
        <v>33</v>
      </c>
      <c r="O58" s="2">
        <f t="shared" ref="O58" si="16">SUM(J55:J58)</f>
        <v>3</v>
      </c>
    </row>
    <row r="59" spans="1:15" x14ac:dyDescent="0.35">
      <c r="A59" s="3" t="s">
        <v>700</v>
      </c>
      <c r="B59" s="3" t="s">
        <v>283</v>
      </c>
      <c r="C59" s="132">
        <v>1213</v>
      </c>
      <c r="D59" s="16" t="s">
        <v>30</v>
      </c>
      <c r="E59" s="17" t="s">
        <v>17</v>
      </c>
      <c r="F59" s="12">
        <v>97</v>
      </c>
      <c r="G59" s="12">
        <v>42</v>
      </c>
      <c r="H59" s="12">
        <v>3</v>
      </c>
      <c r="I59" s="12">
        <v>9</v>
      </c>
      <c r="J59" s="14"/>
    </row>
    <row r="60" spans="1:15" x14ac:dyDescent="0.35">
      <c r="A60" s="80"/>
      <c r="B60" s="80"/>
      <c r="C60" s="100"/>
      <c r="D60" s="16" t="s">
        <v>30</v>
      </c>
      <c r="E60" s="17" t="s">
        <v>2</v>
      </c>
      <c r="F60" s="12">
        <v>127</v>
      </c>
      <c r="G60" s="12">
        <v>29</v>
      </c>
      <c r="H60" s="12">
        <v>11</v>
      </c>
      <c r="I60" s="12">
        <v>13</v>
      </c>
      <c r="J60" s="14"/>
    </row>
    <row r="61" spans="1:15" x14ac:dyDescent="0.35">
      <c r="A61" s="80"/>
      <c r="B61" s="80"/>
      <c r="C61" s="100"/>
      <c r="D61" s="16" t="s">
        <v>30</v>
      </c>
      <c r="E61" s="17" t="s">
        <v>3</v>
      </c>
      <c r="F61" s="12">
        <v>147</v>
      </c>
      <c r="G61" s="12">
        <v>32</v>
      </c>
      <c r="H61" s="12">
        <v>2</v>
      </c>
      <c r="I61" s="12">
        <v>4</v>
      </c>
      <c r="J61" s="14"/>
    </row>
    <row r="62" spans="1:15" x14ac:dyDescent="0.35">
      <c r="A62" s="80"/>
      <c r="B62" s="80"/>
      <c r="C62" s="100"/>
      <c r="D62" s="16" t="s">
        <v>30</v>
      </c>
      <c r="E62" s="17" t="s">
        <v>4</v>
      </c>
      <c r="F62" s="12">
        <v>190</v>
      </c>
      <c r="G62" s="12">
        <v>48</v>
      </c>
      <c r="H62" s="12">
        <v>11</v>
      </c>
      <c r="I62" s="12">
        <v>13</v>
      </c>
      <c r="J62" s="14"/>
      <c r="K62" s="2">
        <f>SUM(F59:F62)</f>
        <v>561</v>
      </c>
      <c r="L62" s="2">
        <f t="shared" ref="L62" si="17">SUM(G59:G62)</f>
        <v>151</v>
      </c>
      <c r="M62" s="2">
        <f t="shared" ref="M62" si="18">SUM(H59:H62)</f>
        <v>27</v>
      </c>
      <c r="N62" s="2">
        <f t="shared" ref="N62" si="19">SUM(I59:I62)</f>
        <v>39</v>
      </c>
      <c r="O62" s="2">
        <f t="shared" ref="O62" si="20">SUM(J59:J62)</f>
        <v>0</v>
      </c>
    </row>
    <row r="63" spans="1:15" x14ac:dyDescent="0.35">
      <c r="A63" s="81"/>
      <c r="B63" s="81" t="s">
        <v>717</v>
      </c>
      <c r="C63" s="106">
        <f>SUM(C5:C59)</f>
        <v>13624</v>
      </c>
      <c r="D63" s="304" t="s">
        <v>231</v>
      </c>
      <c r="E63" s="305"/>
      <c r="F63" s="60">
        <f>SUM(F5:F62)</f>
        <v>5543</v>
      </c>
      <c r="G63" s="60">
        <f>SUM(G5:G62)</f>
        <v>2189</v>
      </c>
      <c r="H63" s="60">
        <f>SUM(H5:H62)</f>
        <v>329</v>
      </c>
      <c r="I63" s="60">
        <f>SUM(I5:I62)</f>
        <v>314</v>
      </c>
      <c r="J63" s="60">
        <f>SUM(J5:J62)</f>
        <v>8</v>
      </c>
    </row>
    <row r="64" spans="1:15" x14ac:dyDescent="0.35">
      <c r="A64" s="306" t="s">
        <v>751</v>
      </c>
      <c r="B64" s="306"/>
      <c r="C64" s="106">
        <f>SUM(C63,F63,G63,H63,I63,J63)</f>
        <v>22007</v>
      </c>
    </row>
  </sheetData>
  <mergeCells count="7">
    <mergeCell ref="A64:B64"/>
    <mergeCell ref="D63:E63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zoomScale="70" zoomScaleNormal="70" workbookViewId="0">
      <selection activeCell="B27" sqref="B27"/>
    </sheetView>
  </sheetViews>
  <sheetFormatPr defaultRowHeight="21" x14ac:dyDescent="0.35"/>
  <cols>
    <col min="1" max="1" width="15.42578125" style="2" customWidth="1"/>
    <col min="2" max="2" width="17.28515625" style="2" customWidth="1"/>
    <col min="3" max="3" width="22.42578125" style="95" customWidth="1"/>
    <col min="4" max="4" width="13.140625" customWidth="1"/>
    <col min="5" max="5" width="10.85546875" style="11" customWidth="1"/>
    <col min="6" max="6" width="13.7109375" style="11" customWidth="1"/>
    <col min="7" max="7" width="12.85546875" style="11" customWidth="1"/>
    <col min="8" max="8" width="13.28515625" style="11" customWidth="1"/>
    <col min="9" max="9" width="15.85546875" style="11" customWidth="1"/>
    <col min="10" max="10" width="15" style="11" customWidth="1"/>
  </cols>
  <sheetData>
    <row r="1" spans="1:15" ht="18.75" customHeight="1" x14ac:dyDescent="0.35">
      <c r="A1" s="302" t="s">
        <v>752</v>
      </c>
      <c r="B1" s="302"/>
      <c r="C1" s="302"/>
      <c r="D1" s="317" t="s">
        <v>229</v>
      </c>
      <c r="E1" s="318"/>
      <c r="F1" s="318"/>
      <c r="G1" s="318"/>
      <c r="H1" s="318"/>
      <c r="I1" s="318"/>
      <c r="J1" s="318"/>
    </row>
    <row r="2" spans="1:15" ht="18.75" customHeight="1" x14ac:dyDescent="0.35">
      <c r="A2" s="302" t="s">
        <v>720</v>
      </c>
      <c r="B2" s="302"/>
      <c r="C2" s="302"/>
      <c r="D2" s="317" t="s">
        <v>230</v>
      </c>
      <c r="E2" s="317"/>
      <c r="F2" s="317"/>
      <c r="G2" s="317"/>
      <c r="H2" s="317"/>
      <c r="I2" s="317"/>
      <c r="J2" s="317"/>
    </row>
    <row r="3" spans="1:15" ht="18.75" customHeight="1" x14ac:dyDescent="0.35">
      <c r="A3" s="91"/>
      <c r="B3" s="91"/>
      <c r="C3" s="110"/>
      <c r="D3" s="42"/>
      <c r="E3" s="42"/>
      <c r="F3" s="303" t="s">
        <v>718</v>
      </c>
      <c r="G3" s="303"/>
      <c r="H3" s="303"/>
      <c r="I3" s="303"/>
      <c r="J3" s="303"/>
    </row>
    <row r="4" spans="1:15" x14ac:dyDescent="0.35">
      <c r="A4" s="108" t="s">
        <v>716</v>
      </c>
      <c r="B4" s="108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228</v>
      </c>
    </row>
    <row r="5" spans="1:15" x14ac:dyDescent="0.35">
      <c r="A5" s="3" t="s">
        <v>703</v>
      </c>
      <c r="B5" s="3" t="s">
        <v>704</v>
      </c>
      <c r="C5" s="132">
        <v>1158</v>
      </c>
      <c r="D5" s="16" t="s">
        <v>214</v>
      </c>
      <c r="E5" s="17" t="s">
        <v>17</v>
      </c>
      <c r="F5" s="12">
        <v>131</v>
      </c>
      <c r="G5" s="12">
        <v>124</v>
      </c>
      <c r="H5" s="12">
        <v>25</v>
      </c>
      <c r="I5" s="14">
        <v>25</v>
      </c>
      <c r="J5" s="14"/>
    </row>
    <row r="6" spans="1:15" x14ac:dyDescent="0.35">
      <c r="A6" s="80"/>
      <c r="B6" s="80"/>
      <c r="C6" s="100"/>
      <c r="D6" s="16" t="s">
        <v>214</v>
      </c>
      <c r="E6" s="17" t="s">
        <v>2</v>
      </c>
      <c r="F6" s="12">
        <v>43</v>
      </c>
      <c r="G6" s="12">
        <v>29</v>
      </c>
      <c r="H6" s="12">
        <v>5</v>
      </c>
      <c r="I6" s="12">
        <v>3</v>
      </c>
      <c r="J6" s="14"/>
    </row>
    <row r="7" spans="1:15" x14ac:dyDescent="0.35">
      <c r="A7" s="80"/>
      <c r="B7" s="80"/>
      <c r="C7" s="100"/>
      <c r="D7" s="16" t="s">
        <v>214</v>
      </c>
      <c r="E7" s="17" t="s">
        <v>3</v>
      </c>
      <c r="F7" s="12">
        <v>54</v>
      </c>
      <c r="G7" s="12">
        <v>43</v>
      </c>
      <c r="H7" s="12">
        <v>13</v>
      </c>
      <c r="I7" s="12">
        <v>2</v>
      </c>
      <c r="J7" s="14"/>
    </row>
    <row r="8" spans="1:15" x14ac:dyDescent="0.35">
      <c r="A8" s="80"/>
      <c r="B8" s="80"/>
      <c r="C8" s="100"/>
      <c r="D8" s="16" t="s">
        <v>214</v>
      </c>
      <c r="E8" s="17" t="s">
        <v>4</v>
      </c>
      <c r="F8" s="12">
        <v>137</v>
      </c>
      <c r="G8" s="12">
        <v>92</v>
      </c>
      <c r="H8" s="12">
        <v>18</v>
      </c>
      <c r="I8" s="12">
        <v>11</v>
      </c>
      <c r="J8" s="14"/>
    </row>
    <row r="9" spans="1:15" x14ac:dyDescent="0.35">
      <c r="A9" s="80"/>
      <c r="B9" s="80"/>
      <c r="C9" s="100"/>
      <c r="D9" s="16" t="s">
        <v>214</v>
      </c>
      <c r="E9" s="17" t="s">
        <v>5</v>
      </c>
      <c r="F9" s="12">
        <v>57</v>
      </c>
      <c r="G9" s="12">
        <v>31</v>
      </c>
      <c r="H9" s="12">
        <v>2</v>
      </c>
      <c r="I9" s="12">
        <v>2</v>
      </c>
      <c r="J9" s="14"/>
      <c r="K9" s="2">
        <f>SUM(F5:F9)</f>
        <v>422</v>
      </c>
      <c r="L9" s="2">
        <f t="shared" ref="L9:O9" si="0">SUM(G5:G9)</f>
        <v>319</v>
      </c>
      <c r="M9" s="2">
        <f t="shared" si="0"/>
        <v>63</v>
      </c>
      <c r="N9" s="2">
        <f t="shared" si="0"/>
        <v>43</v>
      </c>
      <c r="O9" s="2">
        <f t="shared" si="0"/>
        <v>0</v>
      </c>
    </row>
    <row r="10" spans="1:15" x14ac:dyDescent="0.35">
      <c r="A10" s="6" t="s">
        <v>701</v>
      </c>
      <c r="B10" s="6" t="s">
        <v>702</v>
      </c>
      <c r="C10" s="133">
        <v>1219</v>
      </c>
      <c r="D10" s="16" t="s">
        <v>30</v>
      </c>
      <c r="E10" s="17" t="s">
        <v>17</v>
      </c>
      <c r="F10" s="13">
        <v>184</v>
      </c>
      <c r="G10" s="13">
        <v>47</v>
      </c>
      <c r="H10" s="13">
        <v>7</v>
      </c>
      <c r="I10" s="13">
        <v>7</v>
      </c>
      <c r="J10" s="13">
        <v>1</v>
      </c>
    </row>
    <row r="11" spans="1:15" x14ac:dyDescent="0.35">
      <c r="A11" s="74"/>
      <c r="B11" s="74"/>
      <c r="C11" s="98"/>
      <c r="D11" s="16" t="s">
        <v>30</v>
      </c>
      <c r="E11" s="17" t="s">
        <v>2</v>
      </c>
      <c r="F11" s="13">
        <v>69</v>
      </c>
      <c r="G11" s="13">
        <v>7</v>
      </c>
      <c r="H11" s="15"/>
      <c r="I11" s="13">
        <v>1</v>
      </c>
      <c r="J11" s="13">
        <v>1</v>
      </c>
    </row>
    <row r="12" spans="1:15" x14ac:dyDescent="0.35">
      <c r="A12" s="74"/>
      <c r="B12" s="74"/>
      <c r="C12" s="98"/>
      <c r="D12" s="16" t="s">
        <v>30</v>
      </c>
      <c r="E12" s="17" t="s">
        <v>3</v>
      </c>
      <c r="F12" s="13">
        <v>48</v>
      </c>
      <c r="G12" s="13">
        <v>4</v>
      </c>
      <c r="H12" s="15"/>
      <c r="I12" s="13">
        <v>4</v>
      </c>
      <c r="J12" s="15"/>
    </row>
    <row r="13" spans="1:15" x14ac:dyDescent="0.35">
      <c r="A13" s="74"/>
      <c r="B13" s="74"/>
      <c r="C13" s="98"/>
      <c r="D13" s="16" t="s">
        <v>30</v>
      </c>
      <c r="E13" s="17" t="s">
        <v>4</v>
      </c>
      <c r="F13" s="13">
        <v>79</v>
      </c>
      <c r="G13" s="13">
        <v>19</v>
      </c>
      <c r="H13" s="13">
        <v>1</v>
      </c>
      <c r="I13" s="13">
        <v>3</v>
      </c>
      <c r="J13" s="15"/>
    </row>
    <row r="14" spans="1:15" x14ac:dyDescent="0.35">
      <c r="A14" s="74"/>
      <c r="B14" s="74"/>
      <c r="C14" s="98"/>
      <c r="D14" s="16" t="s">
        <v>30</v>
      </c>
      <c r="E14" s="17" t="s">
        <v>5</v>
      </c>
      <c r="F14" s="13">
        <v>41</v>
      </c>
      <c r="G14" s="13">
        <v>23</v>
      </c>
      <c r="H14" s="15"/>
      <c r="I14" s="13">
        <v>5</v>
      </c>
      <c r="J14" s="15"/>
      <c r="K14" s="2">
        <f>SUM(F10:F14)</f>
        <v>421</v>
      </c>
      <c r="L14" s="2">
        <f t="shared" ref="L14" si="1">SUM(G10:G14)</f>
        <v>100</v>
      </c>
      <c r="M14" s="2">
        <f t="shared" ref="M14" si="2">SUM(H10:H14)</f>
        <v>8</v>
      </c>
      <c r="N14" s="2">
        <f t="shared" ref="N14" si="3">SUM(I10:I14)</f>
        <v>20</v>
      </c>
      <c r="O14" s="2">
        <f t="shared" ref="O14" si="4">SUM(J10:J14)</f>
        <v>2</v>
      </c>
    </row>
    <row r="15" spans="1:15" x14ac:dyDescent="0.35">
      <c r="A15" s="3" t="s">
        <v>705</v>
      </c>
      <c r="B15" s="3" t="s">
        <v>706</v>
      </c>
      <c r="C15" s="132">
        <v>1530</v>
      </c>
      <c r="D15" s="16" t="s">
        <v>215</v>
      </c>
      <c r="E15" s="17" t="s">
        <v>17</v>
      </c>
      <c r="F15" s="12">
        <v>163</v>
      </c>
      <c r="G15" s="12">
        <v>33</v>
      </c>
      <c r="H15" s="12">
        <v>5</v>
      </c>
      <c r="I15" s="12">
        <v>8</v>
      </c>
      <c r="J15" s="14"/>
    </row>
    <row r="16" spans="1:15" x14ac:dyDescent="0.35">
      <c r="A16" s="80"/>
      <c r="B16" s="80"/>
      <c r="C16" s="100"/>
      <c r="D16" s="16" t="s">
        <v>215</v>
      </c>
      <c r="E16" s="17" t="s">
        <v>2</v>
      </c>
      <c r="F16" s="12">
        <v>91</v>
      </c>
      <c r="G16" s="12">
        <v>59</v>
      </c>
      <c r="H16" s="12">
        <v>17</v>
      </c>
      <c r="I16" s="12">
        <v>6</v>
      </c>
      <c r="J16" s="12">
        <v>1</v>
      </c>
    </row>
    <row r="17" spans="1:15" x14ac:dyDescent="0.35">
      <c r="A17" s="80"/>
      <c r="B17" s="80"/>
      <c r="C17" s="100"/>
      <c r="D17" s="16" t="s">
        <v>215</v>
      </c>
      <c r="E17" s="17" t="s">
        <v>3</v>
      </c>
      <c r="F17" s="12">
        <v>29</v>
      </c>
      <c r="G17" s="12">
        <v>25</v>
      </c>
      <c r="H17" s="12">
        <v>4</v>
      </c>
      <c r="I17" s="12">
        <v>1</v>
      </c>
      <c r="J17" s="14"/>
    </row>
    <row r="18" spans="1:15" x14ac:dyDescent="0.35">
      <c r="A18" s="80"/>
      <c r="B18" s="80"/>
      <c r="C18" s="100"/>
      <c r="D18" s="16" t="s">
        <v>215</v>
      </c>
      <c r="E18" s="17" t="s">
        <v>4</v>
      </c>
      <c r="F18" s="12">
        <v>41</v>
      </c>
      <c r="G18" s="12">
        <v>18</v>
      </c>
      <c r="H18" s="12">
        <v>4</v>
      </c>
      <c r="I18" s="12">
        <v>3</v>
      </c>
      <c r="J18" s="14"/>
    </row>
    <row r="19" spans="1:15" x14ac:dyDescent="0.35">
      <c r="A19" s="80"/>
      <c r="B19" s="80"/>
      <c r="C19" s="100"/>
      <c r="D19" s="16" t="s">
        <v>215</v>
      </c>
      <c r="E19" s="17" t="s">
        <v>5</v>
      </c>
      <c r="F19" s="12">
        <v>67</v>
      </c>
      <c r="G19" s="12">
        <v>25</v>
      </c>
      <c r="H19" s="12">
        <v>7</v>
      </c>
      <c r="I19" s="12">
        <v>13</v>
      </c>
      <c r="J19" s="14"/>
    </row>
    <row r="20" spans="1:15" x14ac:dyDescent="0.35">
      <c r="A20" s="80"/>
      <c r="B20" s="80"/>
      <c r="C20" s="100"/>
      <c r="D20" s="16" t="s">
        <v>215</v>
      </c>
      <c r="E20" s="17" t="s">
        <v>6</v>
      </c>
      <c r="F20" s="12">
        <v>187</v>
      </c>
      <c r="G20" s="12">
        <v>85</v>
      </c>
      <c r="H20" s="12">
        <v>2</v>
      </c>
      <c r="I20" s="12">
        <v>4</v>
      </c>
      <c r="J20" s="14"/>
      <c r="K20" s="2">
        <f>SUM(F15:F20)</f>
        <v>578</v>
      </c>
      <c r="L20" s="2">
        <f t="shared" ref="L20:O20" si="5">SUM(G15:G20)</f>
        <v>245</v>
      </c>
      <c r="M20" s="2">
        <f t="shared" si="5"/>
        <v>39</v>
      </c>
      <c r="N20" s="2">
        <f t="shared" si="5"/>
        <v>35</v>
      </c>
      <c r="O20" s="2">
        <f t="shared" si="5"/>
        <v>1</v>
      </c>
    </row>
    <row r="21" spans="1:15" x14ac:dyDescent="0.35">
      <c r="A21" s="6" t="s">
        <v>707</v>
      </c>
      <c r="B21" s="6" t="s">
        <v>708</v>
      </c>
      <c r="C21" s="133">
        <v>792</v>
      </c>
      <c r="D21" s="16" t="s">
        <v>216</v>
      </c>
      <c r="E21" s="17" t="s">
        <v>17</v>
      </c>
      <c r="F21" s="13">
        <v>107</v>
      </c>
      <c r="G21" s="13">
        <v>20</v>
      </c>
      <c r="H21" s="13">
        <v>4</v>
      </c>
      <c r="I21" s="15"/>
      <c r="J21" s="15"/>
    </row>
    <row r="22" spans="1:15" x14ac:dyDescent="0.35">
      <c r="A22" s="74"/>
      <c r="B22" s="74"/>
      <c r="C22" s="98"/>
      <c r="D22" s="16" t="s">
        <v>216</v>
      </c>
      <c r="E22" s="17" t="s">
        <v>2</v>
      </c>
      <c r="F22" s="13">
        <v>30</v>
      </c>
      <c r="G22" s="13">
        <v>14</v>
      </c>
      <c r="H22" s="13">
        <v>7</v>
      </c>
      <c r="I22" s="13">
        <v>4</v>
      </c>
      <c r="J22" s="15"/>
    </row>
    <row r="23" spans="1:15" x14ac:dyDescent="0.35">
      <c r="A23" s="74"/>
      <c r="B23" s="74"/>
      <c r="C23" s="98"/>
      <c r="D23" s="16" t="s">
        <v>216</v>
      </c>
      <c r="E23" s="17" t="s">
        <v>3</v>
      </c>
      <c r="F23" s="13">
        <v>83</v>
      </c>
      <c r="G23" s="13">
        <v>16</v>
      </c>
      <c r="H23" s="13">
        <v>1</v>
      </c>
      <c r="I23" s="15"/>
      <c r="J23" s="15"/>
    </row>
    <row r="24" spans="1:15" x14ac:dyDescent="0.35">
      <c r="A24" s="74"/>
      <c r="B24" s="74"/>
      <c r="C24" s="98"/>
      <c r="D24" s="16" t="s">
        <v>216</v>
      </c>
      <c r="E24" s="17" t="s">
        <v>4</v>
      </c>
      <c r="F24" s="13">
        <v>53</v>
      </c>
      <c r="G24" s="13">
        <v>9</v>
      </c>
      <c r="H24" s="13">
        <v>4</v>
      </c>
      <c r="I24" s="13">
        <v>2</v>
      </c>
      <c r="J24" s="15"/>
    </row>
    <row r="25" spans="1:15" x14ac:dyDescent="0.35">
      <c r="A25" s="74"/>
      <c r="B25" s="74"/>
      <c r="C25" s="98"/>
      <c r="D25" s="16" t="s">
        <v>216</v>
      </c>
      <c r="E25" s="17" t="s">
        <v>5</v>
      </c>
      <c r="F25" s="13">
        <v>68</v>
      </c>
      <c r="G25" s="13">
        <v>27</v>
      </c>
      <c r="H25" s="15"/>
      <c r="I25" s="13">
        <v>3</v>
      </c>
      <c r="J25" s="15"/>
    </row>
    <row r="26" spans="1:15" x14ac:dyDescent="0.35">
      <c r="A26" s="74"/>
      <c r="B26" s="74"/>
      <c r="C26" s="98"/>
      <c r="D26" s="16" t="s">
        <v>216</v>
      </c>
      <c r="E26" s="17" t="s">
        <v>6</v>
      </c>
      <c r="F26" s="13">
        <v>21</v>
      </c>
      <c r="G26" s="13">
        <v>10</v>
      </c>
      <c r="H26" s="15"/>
      <c r="I26" s="13">
        <v>1</v>
      </c>
      <c r="J26" s="15"/>
      <c r="K26" s="2">
        <f>SUM(F21:F26)</f>
        <v>362</v>
      </c>
      <c r="L26" s="2">
        <f t="shared" ref="L26:O26" si="6">SUM(G21:G26)</f>
        <v>96</v>
      </c>
      <c r="M26" s="2">
        <f t="shared" si="6"/>
        <v>16</v>
      </c>
      <c r="N26" s="2">
        <f t="shared" si="6"/>
        <v>10</v>
      </c>
      <c r="O26" s="2">
        <f t="shared" si="6"/>
        <v>0</v>
      </c>
    </row>
    <row r="27" spans="1:15" x14ac:dyDescent="0.35">
      <c r="A27" s="3" t="s">
        <v>709</v>
      </c>
      <c r="B27" s="3" t="s">
        <v>710</v>
      </c>
      <c r="C27" s="132">
        <v>849</v>
      </c>
      <c r="D27" s="16" t="s">
        <v>217</v>
      </c>
      <c r="E27" s="17" t="s">
        <v>17</v>
      </c>
      <c r="F27" s="12">
        <v>53</v>
      </c>
      <c r="G27" s="12">
        <v>15</v>
      </c>
      <c r="H27" s="14"/>
      <c r="I27" s="12">
        <v>2</v>
      </c>
      <c r="J27" s="14"/>
    </row>
    <row r="28" spans="1:15" x14ac:dyDescent="0.35">
      <c r="A28" s="80"/>
      <c r="B28" s="80"/>
      <c r="C28" s="100"/>
      <c r="D28" s="16" t="s">
        <v>217</v>
      </c>
      <c r="E28" s="17" t="s">
        <v>2</v>
      </c>
      <c r="F28" s="12">
        <v>105</v>
      </c>
      <c r="G28" s="12">
        <v>21</v>
      </c>
      <c r="H28" s="14"/>
      <c r="I28" s="12">
        <v>4</v>
      </c>
      <c r="J28" s="14"/>
    </row>
    <row r="29" spans="1:15" x14ac:dyDescent="0.35">
      <c r="A29" s="80"/>
      <c r="B29" s="80"/>
      <c r="C29" s="100"/>
      <c r="D29" s="16" t="s">
        <v>217</v>
      </c>
      <c r="E29" s="17" t="s">
        <v>3</v>
      </c>
      <c r="F29" s="12">
        <v>58</v>
      </c>
      <c r="G29" s="12">
        <v>2</v>
      </c>
      <c r="H29" s="14"/>
      <c r="I29" s="12">
        <v>2</v>
      </c>
      <c r="J29" s="14"/>
    </row>
    <row r="30" spans="1:15" x14ac:dyDescent="0.35">
      <c r="A30" s="80"/>
      <c r="B30" s="80"/>
      <c r="C30" s="100"/>
      <c r="D30" s="16" t="s">
        <v>217</v>
      </c>
      <c r="E30" s="17" t="s">
        <v>4</v>
      </c>
      <c r="F30" s="12">
        <v>59</v>
      </c>
      <c r="G30" s="12">
        <v>7</v>
      </c>
      <c r="H30" s="14"/>
      <c r="I30" s="14"/>
      <c r="J30" s="14"/>
    </row>
    <row r="31" spans="1:15" x14ac:dyDescent="0.35">
      <c r="A31" s="80"/>
      <c r="B31" s="80"/>
      <c r="C31" s="100"/>
      <c r="D31" s="16" t="s">
        <v>217</v>
      </c>
      <c r="E31" s="17" t="s">
        <v>5</v>
      </c>
      <c r="F31" s="12">
        <v>112</v>
      </c>
      <c r="G31" s="12">
        <v>46</v>
      </c>
      <c r="H31" s="14"/>
      <c r="I31" s="12">
        <v>7</v>
      </c>
      <c r="J31" s="14"/>
      <c r="K31" s="2">
        <f>SUM(F27:F31)</f>
        <v>387</v>
      </c>
      <c r="L31" s="2">
        <f t="shared" ref="L31:O31" si="7">SUM(G27:G31)</f>
        <v>91</v>
      </c>
      <c r="M31" s="2">
        <f t="shared" si="7"/>
        <v>0</v>
      </c>
      <c r="N31" s="2">
        <f t="shared" si="7"/>
        <v>15</v>
      </c>
      <c r="O31" s="2">
        <f t="shared" si="7"/>
        <v>0</v>
      </c>
    </row>
    <row r="32" spans="1:15" x14ac:dyDescent="0.35">
      <c r="A32" s="306" t="s">
        <v>753</v>
      </c>
      <c r="B32" s="306"/>
      <c r="C32" s="106">
        <f>SUM(C5:C27)</f>
        <v>5548</v>
      </c>
      <c r="D32" s="18" t="s">
        <v>231</v>
      </c>
      <c r="E32" s="19"/>
      <c r="F32" s="20">
        <f>SUM(F5:F31)</f>
        <v>2170</v>
      </c>
      <c r="G32" s="20">
        <f>SUM(G5:G31)</f>
        <v>851</v>
      </c>
      <c r="H32" s="20">
        <f>SUM(H5:H31)</f>
        <v>126</v>
      </c>
      <c r="I32" s="20">
        <f>SUM(I5:I31)</f>
        <v>123</v>
      </c>
      <c r="J32" s="20">
        <f>SUM(J5:J31)</f>
        <v>3</v>
      </c>
    </row>
    <row r="33" spans="1:3" x14ac:dyDescent="0.35">
      <c r="A33" s="306" t="s">
        <v>754</v>
      </c>
      <c r="B33" s="306"/>
      <c r="C33" s="106">
        <f>SUM(C32,F32,G32,H32,I32,J32)</f>
        <v>8821</v>
      </c>
    </row>
  </sheetData>
  <mergeCells count="7">
    <mergeCell ref="A33:B33"/>
    <mergeCell ref="D1:J1"/>
    <mergeCell ref="D2:J2"/>
    <mergeCell ref="F3:J3"/>
    <mergeCell ref="A1:C1"/>
    <mergeCell ref="A2:C2"/>
    <mergeCell ref="A32:B3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J4" sqref="J4"/>
    </sheetView>
  </sheetViews>
  <sheetFormatPr defaultRowHeight="21" x14ac:dyDescent="0.35"/>
  <cols>
    <col min="1" max="1" width="9.140625" style="2"/>
    <col min="2" max="2" width="26.7109375" style="2" customWidth="1"/>
    <col min="3" max="3" width="19" style="2" customWidth="1"/>
    <col min="4" max="4" width="16" style="2" customWidth="1"/>
    <col min="5" max="5" width="26.7109375" style="2" customWidth="1"/>
    <col min="6" max="6" width="16" style="95" customWidth="1"/>
    <col min="7" max="16384" width="9.140625" style="2"/>
  </cols>
  <sheetData>
    <row r="1" spans="1:6" x14ac:dyDescent="0.35">
      <c r="A1" s="326" t="s">
        <v>755</v>
      </c>
      <c r="B1" s="326"/>
      <c r="C1" s="326"/>
      <c r="D1" s="326"/>
      <c r="E1" s="326"/>
      <c r="F1" s="326"/>
    </row>
    <row r="2" spans="1:6" x14ac:dyDescent="0.35">
      <c r="A2" s="326" t="s">
        <v>756</v>
      </c>
      <c r="B2" s="326"/>
      <c r="C2" s="326"/>
      <c r="D2" s="326"/>
      <c r="E2" s="326"/>
      <c r="F2" s="326"/>
    </row>
    <row r="3" spans="1:6" x14ac:dyDescent="0.35">
      <c r="A3" s="137" t="s">
        <v>253</v>
      </c>
      <c r="B3" s="137" t="s">
        <v>254</v>
      </c>
      <c r="C3" s="137" t="s">
        <v>757</v>
      </c>
      <c r="D3" s="137" t="s">
        <v>255</v>
      </c>
      <c r="E3" s="137" t="s">
        <v>256</v>
      </c>
      <c r="F3" s="138" t="s">
        <v>257</v>
      </c>
    </row>
    <row r="4" spans="1:6" x14ac:dyDescent="0.35">
      <c r="A4" s="139" t="s">
        <v>258</v>
      </c>
      <c r="B4" s="139" t="s">
        <v>259</v>
      </c>
      <c r="C4" s="140" t="s">
        <v>60</v>
      </c>
      <c r="D4" s="140" t="s">
        <v>296</v>
      </c>
      <c r="E4" s="140" t="s">
        <v>297</v>
      </c>
      <c r="F4" s="141">
        <v>3</v>
      </c>
    </row>
    <row r="5" spans="1:6" x14ac:dyDescent="0.35">
      <c r="A5" s="139" t="s">
        <v>258</v>
      </c>
      <c r="B5" s="139" t="s">
        <v>259</v>
      </c>
      <c r="C5" s="140" t="s">
        <v>60</v>
      </c>
      <c r="D5" s="140" t="s">
        <v>298</v>
      </c>
      <c r="E5" s="140" t="s">
        <v>299</v>
      </c>
      <c r="F5" s="141">
        <v>16</v>
      </c>
    </row>
    <row r="6" spans="1:6" x14ac:dyDescent="0.35">
      <c r="A6" s="139" t="s">
        <v>258</v>
      </c>
      <c r="B6" s="139" t="s">
        <v>259</v>
      </c>
      <c r="C6" s="140" t="s">
        <v>60</v>
      </c>
      <c r="D6" s="140" t="s">
        <v>300</v>
      </c>
      <c r="E6" s="140" t="s">
        <v>301</v>
      </c>
      <c r="F6" s="141">
        <v>159</v>
      </c>
    </row>
    <row r="7" spans="1:6" x14ac:dyDescent="0.35">
      <c r="A7" s="139" t="s">
        <v>258</v>
      </c>
      <c r="B7" s="139" t="s">
        <v>259</v>
      </c>
      <c r="C7" s="140" t="s">
        <v>60</v>
      </c>
      <c r="D7" s="140" t="s">
        <v>302</v>
      </c>
      <c r="E7" s="140" t="s">
        <v>303</v>
      </c>
      <c r="F7" s="141">
        <v>614</v>
      </c>
    </row>
    <row r="8" spans="1:6" x14ac:dyDescent="0.35">
      <c r="A8" s="139" t="s">
        <v>258</v>
      </c>
      <c r="B8" s="139" t="s">
        <v>259</v>
      </c>
      <c r="C8" s="140" t="s">
        <v>60</v>
      </c>
      <c r="D8" s="140" t="s">
        <v>304</v>
      </c>
      <c r="E8" s="140" t="s">
        <v>305</v>
      </c>
      <c r="F8" s="141">
        <v>58</v>
      </c>
    </row>
    <row r="9" spans="1:6" x14ac:dyDescent="0.35">
      <c r="A9" s="139"/>
      <c r="B9" s="139"/>
      <c r="C9" s="327" t="s">
        <v>758</v>
      </c>
      <c r="D9" s="327"/>
      <c r="E9" s="327"/>
      <c r="F9" s="142">
        <f>SUM(F4:F8)</f>
        <v>850</v>
      </c>
    </row>
    <row r="10" spans="1:6" x14ac:dyDescent="0.35">
      <c r="A10" s="139" t="s">
        <v>258</v>
      </c>
      <c r="B10" s="139" t="s">
        <v>259</v>
      </c>
      <c r="C10" s="143" t="s">
        <v>82</v>
      </c>
      <c r="D10" s="143" t="s">
        <v>306</v>
      </c>
      <c r="E10" s="143" t="s">
        <v>307</v>
      </c>
      <c r="F10" s="144">
        <v>222</v>
      </c>
    </row>
    <row r="11" spans="1:6" x14ac:dyDescent="0.35">
      <c r="A11" s="139" t="s">
        <v>258</v>
      </c>
      <c r="B11" s="139" t="s">
        <v>259</v>
      </c>
      <c r="C11" s="143" t="s">
        <v>82</v>
      </c>
      <c r="D11" s="143" t="s">
        <v>308</v>
      </c>
      <c r="E11" s="143" t="s">
        <v>309</v>
      </c>
      <c r="F11" s="144">
        <v>1681</v>
      </c>
    </row>
    <row r="12" spans="1:6" x14ac:dyDescent="0.35">
      <c r="A12" s="139"/>
      <c r="B12" s="139"/>
      <c r="C12" s="328" t="s">
        <v>759</v>
      </c>
      <c r="D12" s="328"/>
      <c r="E12" s="328"/>
      <c r="F12" s="145">
        <f>SUM(F10:F11)</f>
        <v>1903</v>
      </c>
    </row>
    <row r="13" spans="1:6" x14ac:dyDescent="0.35">
      <c r="A13" s="139" t="s">
        <v>258</v>
      </c>
      <c r="B13" s="139" t="s">
        <v>259</v>
      </c>
      <c r="C13" s="140" t="s">
        <v>760</v>
      </c>
      <c r="D13" s="140" t="s">
        <v>310</v>
      </c>
      <c r="E13" s="140" t="s">
        <v>311</v>
      </c>
      <c r="F13" s="141">
        <v>1830</v>
      </c>
    </row>
    <row r="14" spans="1:6" x14ac:dyDescent="0.35">
      <c r="A14" s="139" t="s">
        <v>258</v>
      </c>
      <c r="B14" s="139" t="s">
        <v>259</v>
      </c>
      <c r="C14" s="140" t="s">
        <v>760</v>
      </c>
      <c r="D14" s="140" t="s">
        <v>312</v>
      </c>
      <c r="E14" s="140" t="s">
        <v>313</v>
      </c>
      <c r="F14" s="141">
        <v>436</v>
      </c>
    </row>
    <row r="15" spans="1:6" x14ac:dyDescent="0.35">
      <c r="A15" s="139" t="s">
        <v>258</v>
      </c>
      <c r="B15" s="139" t="s">
        <v>259</v>
      </c>
      <c r="C15" s="140" t="s">
        <v>760</v>
      </c>
      <c r="D15" s="140" t="s">
        <v>314</v>
      </c>
      <c r="E15" s="140" t="s">
        <v>315</v>
      </c>
      <c r="F15" s="141">
        <v>142</v>
      </c>
    </row>
    <row r="16" spans="1:6" x14ac:dyDescent="0.35">
      <c r="A16" s="139" t="s">
        <v>258</v>
      </c>
      <c r="B16" s="139" t="s">
        <v>259</v>
      </c>
      <c r="C16" s="140" t="s">
        <v>760</v>
      </c>
      <c r="D16" s="140" t="s">
        <v>316</v>
      </c>
      <c r="E16" s="140" t="s">
        <v>317</v>
      </c>
      <c r="F16" s="141">
        <v>841</v>
      </c>
    </row>
    <row r="17" spans="1:6" x14ac:dyDescent="0.35">
      <c r="A17" s="139" t="s">
        <v>258</v>
      </c>
      <c r="B17" s="139" t="s">
        <v>259</v>
      </c>
      <c r="C17" s="140" t="s">
        <v>760</v>
      </c>
      <c r="D17" s="140" t="s">
        <v>318</v>
      </c>
      <c r="E17" s="140" t="s">
        <v>319</v>
      </c>
      <c r="F17" s="141">
        <v>908</v>
      </c>
    </row>
    <row r="18" spans="1:6" x14ac:dyDescent="0.35">
      <c r="A18" s="139" t="s">
        <v>258</v>
      </c>
      <c r="B18" s="139" t="s">
        <v>259</v>
      </c>
      <c r="C18" s="140" t="s">
        <v>760</v>
      </c>
      <c r="D18" s="140" t="s">
        <v>320</v>
      </c>
      <c r="E18" s="140" t="s">
        <v>321</v>
      </c>
      <c r="F18" s="141">
        <v>617</v>
      </c>
    </row>
    <row r="19" spans="1:6" x14ac:dyDescent="0.35">
      <c r="A19" s="139" t="s">
        <v>258</v>
      </c>
      <c r="B19" s="139" t="s">
        <v>259</v>
      </c>
      <c r="C19" s="140" t="s">
        <v>760</v>
      </c>
      <c r="D19" s="140" t="s">
        <v>322</v>
      </c>
      <c r="E19" s="140" t="s">
        <v>323</v>
      </c>
      <c r="F19" s="141">
        <v>3084</v>
      </c>
    </row>
    <row r="20" spans="1:6" x14ac:dyDescent="0.35">
      <c r="A20" s="139" t="s">
        <v>258</v>
      </c>
      <c r="B20" s="139" t="s">
        <v>259</v>
      </c>
      <c r="C20" s="140" t="s">
        <v>760</v>
      </c>
      <c r="D20" s="140" t="s">
        <v>324</v>
      </c>
      <c r="E20" s="140" t="s">
        <v>325</v>
      </c>
      <c r="F20" s="141">
        <v>81</v>
      </c>
    </row>
    <row r="21" spans="1:6" x14ac:dyDescent="0.35">
      <c r="A21" s="139" t="s">
        <v>258</v>
      </c>
      <c r="B21" s="139" t="s">
        <v>259</v>
      </c>
      <c r="C21" s="140" t="s">
        <v>760</v>
      </c>
      <c r="D21" s="140" t="s">
        <v>349</v>
      </c>
      <c r="E21" s="140" t="s">
        <v>350</v>
      </c>
      <c r="F21" s="141">
        <v>1377</v>
      </c>
    </row>
    <row r="22" spans="1:6" x14ac:dyDescent="0.35">
      <c r="A22" s="139"/>
      <c r="B22" s="139"/>
      <c r="C22" s="327" t="s">
        <v>761</v>
      </c>
      <c r="D22" s="327"/>
      <c r="E22" s="327"/>
      <c r="F22" s="146">
        <f>SUM(F13:F21)</f>
        <v>9316</v>
      </c>
    </row>
    <row r="23" spans="1:6" x14ac:dyDescent="0.35">
      <c r="A23" s="139" t="s">
        <v>258</v>
      </c>
      <c r="B23" s="139" t="s">
        <v>259</v>
      </c>
      <c r="C23" s="143" t="s">
        <v>115</v>
      </c>
      <c r="D23" s="143" t="s">
        <v>326</v>
      </c>
      <c r="E23" s="143" t="s">
        <v>327</v>
      </c>
      <c r="F23" s="144">
        <v>581</v>
      </c>
    </row>
    <row r="24" spans="1:6" x14ac:dyDescent="0.35">
      <c r="A24" s="139" t="s">
        <v>258</v>
      </c>
      <c r="B24" s="139" t="s">
        <v>259</v>
      </c>
      <c r="C24" s="143" t="s">
        <v>115</v>
      </c>
      <c r="D24" s="143" t="s">
        <v>328</v>
      </c>
      <c r="E24" s="143" t="s">
        <v>329</v>
      </c>
      <c r="F24" s="144">
        <v>1002</v>
      </c>
    </row>
    <row r="25" spans="1:6" x14ac:dyDescent="0.35">
      <c r="A25" s="139" t="s">
        <v>258</v>
      </c>
      <c r="B25" s="139" t="s">
        <v>259</v>
      </c>
      <c r="C25" s="143" t="s">
        <v>115</v>
      </c>
      <c r="D25" s="143" t="s">
        <v>330</v>
      </c>
      <c r="E25" s="143" t="s">
        <v>331</v>
      </c>
      <c r="F25" s="144">
        <v>1158</v>
      </c>
    </row>
    <row r="26" spans="1:6" x14ac:dyDescent="0.35">
      <c r="A26" s="76"/>
      <c r="B26" s="76"/>
      <c r="C26" s="329" t="s">
        <v>762</v>
      </c>
      <c r="D26" s="329"/>
      <c r="E26" s="329"/>
      <c r="F26" s="147">
        <f>SUM(F23:F25)</f>
        <v>2741</v>
      </c>
    </row>
    <row r="27" spans="1:6" x14ac:dyDescent="0.35">
      <c r="A27" s="148"/>
      <c r="B27" s="330" t="s">
        <v>763</v>
      </c>
      <c r="C27" s="330"/>
      <c r="D27" s="330"/>
      <c r="E27" s="330"/>
      <c r="F27" s="149">
        <f>SUM(F26,F22,F12,F9)</f>
        <v>14810</v>
      </c>
    </row>
    <row r="28" spans="1:6" x14ac:dyDescent="0.35">
      <c r="A28" s="137" t="s">
        <v>253</v>
      </c>
      <c r="B28" s="137" t="s">
        <v>254</v>
      </c>
      <c r="C28" s="137" t="s">
        <v>757</v>
      </c>
      <c r="D28" s="137" t="s">
        <v>255</v>
      </c>
      <c r="E28" s="137" t="s">
        <v>256</v>
      </c>
      <c r="F28" s="138" t="s">
        <v>257</v>
      </c>
    </row>
    <row r="29" spans="1:6" x14ac:dyDescent="0.35">
      <c r="A29" s="136" t="s">
        <v>351</v>
      </c>
      <c r="B29" s="136" t="s">
        <v>352</v>
      </c>
      <c r="C29" s="74" t="s">
        <v>60</v>
      </c>
      <c r="D29" s="6" t="s">
        <v>353</v>
      </c>
      <c r="E29" s="6" t="s">
        <v>354</v>
      </c>
      <c r="F29" s="133">
        <v>280</v>
      </c>
    </row>
    <row r="30" spans="1:6" x14ac:dyDescent="0.35">
      <c r="A30" s="136" t="s">
        <v>351</v>
      </c>
      <c r="B30" s="136" t="s">
        <v>352</v>
      </c>
      <c r="C30" s="74" t="s">
        <v>60</v>
      </c>
      <c r="D30" s="6" t="s">
        <v>355</v>
      </c>
      <c r="E30" s="6" t="s">
        <v>356</v>
      </c>
      <c r="F30" s="133">
        <v>475</v>
      </c>
    </row>
    <row r="31" spans="1:6" x14ac:dyDescent="0.35">
      <c r="A31" s="136" t="s">
        <v>351</v>
      </c>
      <c r="B31" s="136" t="s">
        <v>352</v>
      </c>
      <c r="C31" s="74" t="s">
        <v>60</v>
      </c>
      <c r="D31" s="6" t="s">
        <v>357</v>
      </c>
      <c r="E31" s="6" t="s">
        <v>358</v>
      </c>
      <c r="F31" s="133">
        <v>588</v>
      </c>
    </row>
    <row r="32" spans="1:6" x14ac:dyDescent="0.35">
      <c r="A32" s="136" t="s">
        <v>351</v>
      </c>
      <c r="B32" s="136" t="s">
        <v>352</v>
      </c>
      <c r="C32" s="74" t="s">
        <v>60</v>
      </c>
      <c r="D32" s="6" t="s">
        <v>298</v>
      </c>
      <c r="E32" s="6" t="s">
        <v>299</v>
      </c>
      <c r="F32" s="133">
        <v>319</v>
      </c>
    </row>
    <row r="33" spans="1:6" x14ac:dyDescent="0.35">
      <c r="A33" s="136" t="s">
        <v>351</v>
      </c>
      <c r="B33" s="136" t="s">
        <v>352</v>
      </c>
      <c r="C33" s="74" t="s">
        <v>60</v>
      </c>
      <c r="D33" s="6" t="s">
        <v>359</v>
      </c>
      <c r="E33" s="6" t="s">
        <v>360</v>
      </c>
      <c r="F33" s="133">
        <v>407</v>
      </c>
    </row>
    <row r="34" spans="1:6" x14ac:dyDescent="0.35">
      <c r="A34" s="136" t="s">
        <v>351</v>
      </c>
      <c r="B34" s="136" t="s">
        <v>352</v>
      </c>
      <c r="C34" s="74" t="s">
        <v>60</v>
      </c>
      <c r="D34" s="6" t="s">
        <v>361</v>
      </c>
      <c r="E34" s="6" t="s">
        <v>362</v>
      </c>
      <c r="F34" s="133">
        <v>641</v>
      </c>
    </row>
    <row r="35" spans="1:6" x14ac:dyDescent="0.35">
      <c r="A35" s="136" t="s">
        <v>351</v>
      </c>
      <c r="B35" s="136" t="s">
        <v>352</v>
      </c>
      <c r="C35" s="74" t="s">
        <v>60</v>
      </c>
      <c r="D35" s="6" t="s">
        <v>300</v>
      </c>
      <c r="E35" s="6" t="s">
        <v>301</v>
      </c>
      <c r="F35" s="133">
        <v>68</v>
      </c>
    </row>
    <row r="36" spans="1:6" x14ac:dyDescent="0.35">
      <c r="A36" s="136" t="s">
        <v>351</v>
      </c>
      <c r="B36" s="136" t="s">
        <v>352</v>
      </c>
      <c r="C36" s="74" t="s">
        <v>60</v>
      </c>
      <c r="D36" s="6" t="s">
        <v>302</v>
      </c>
      <c r="E36" s="6" t="s">
        <v>303</v>
      </c>
      <c r="F36" s="133">
        <v>251</v>
      </c>
    </row>
    <row r="37" spans="1:6" x14ac:dyDescent="0.35">
      <c r="A37" s="136" t="s">
        <v>351</v>
      </c>
      <c r="B37" s="136" t="s">
        <v>352</v>
      </c>
      <c r="C37" s="74" t="s">
        <v>60</v>
      </c>
      <c r="D37" s="6" t="s">
        <v>304</v>
      </c>
      <c r="E37" s="6" t="s">
        <v>305</v>
      </c>
      <c r="F37" s="133">
        <v>94</v>
      </c>
    </row>
    <row r="38" spans="1:6" x14ac:dyDescent="0.35">
      <c r="A38" s="136" t="s">
        <v>351</v>
      </c>
      <c r="B38" s="136" t="s">
        <v>352</v>
      </c>
      <c r="C38" s="74" t="s">
        <v>60</v>
      </c>
      <c r="D38" s="6" t="s">
        <v>363</v>
      </c>
      <c r="E38" s="6" t="s">
        <v>364</v>
      </c>
      <c r="F38" s="133">
        <v>164</v>
      </c>
    </row>
    <row r="39" spans="1:6" x14ac:dyDescent="0.35">
      <c r="A39" s="136" t="s">
        <v>351</v>
      </c>
      <c r="B39" s="136" t="s">
        <v>352</v>
      </c>
      <c r="C39" s="74" t="s">
        <v>60</v>
      </c>
      <c r="D39" s="6" t="s">
        <v>365</v>
      </c>
      <c r="E39" s="6" t="s">
        <v>366</v>
      </c>
      <c r="F39" s="133">
        <v>674</v>
      </c>
    </row>
    <row r="40" spans="1:6" x14ac:dyDescent="0.35">
      <c r="A40" s="136" t="s">
        <v>351</v>
      </c>
      <c r="B40" s="136" t="s">
        <v>352</v>
      </c>
      <c r="C40" s="74" t="s">
        <v>60</v>
      </c>
      <c r="D40" s="6" t="s">
        <v>367</v>
      </c>
      <c r="E40" s="6" t="s">
        <v>368</v>
      </c>
      <c r="F40" s="133">
        <v>396</v>
      </c>
    </row>
    <row r="41" spans="1:6" x14ac:dyDescent="0.35">
      <c r="A41" s="136" t="s">
        <v>351</v>
      </c>
      <c r="B41" s="136" t="s">
        <v>352</v>
      </c>
      <c r="C41" s="74" t="s">
        <v>60</v>
      </c>
      <c r="D41" s="6" t="s">
        <v>369</v>
      </c>
      <c r="E41" s="6" t="s">
        <v>370</v>
      </c>
      <c r="F41" s="133">
        <v>13</v>
      </c>
    </row>
    <row r="42" spans="1:6" x14ac:dyDescent="0.35">
      <c r="A42" s="136" t="s">
        <v>351</v>
      </c>
      <c r="B42" s="136" t="s">
        <v>352</v>
      </c>
      <c r="C42" s="74" t="s">
        <v>60</v>
      </c>
      <c r="D42" s="6" t="s">
        <v>371</v>
      </c>
      <c r="E42" s="6" t="s">
        <v>372</v>
      </c>
      <c r="F42" s="133">
        <v>2</v>
      </c>
    </row>
    <row r="43" spans="1:6" x14ac:dyDescent="0.35">
      <c r="A43" s="136" t="s">
        <v>351</v>
      </c>
      <c r="B43" s="136" t="s">
        <v>352</v>
      </c>
      <c r="C43" s="74" t="s">
        <v>60</v>
      </c>
      <c r="D43" s="6" t="s">
        <v>373</v>
      </c>
      <c r="E43" s="6" t="s">
        <v>285</v>
      </c>
      <c r="F43" s="133">
        <v>96</v>
      </c>
    </row>
    <row r="44" spans="1:6" x14ac:dyDescent="0.35">
      <c r="A44" s="136" t="s">
        <v>351</v>
      </c>
      <c r="B44" s="136" t="s">
        <v>352</v>
      </c>
      <c r="C44" s="74" t="s">
        <v>60</v>
      </c>
      <c r="D44" s="6" t="s">
        <v>374</v>
      </c>
      <c r="E44" s="6" t="s">
        <v>375</v>
      </c>
      <c r="F44" s="133">
        <v>6</v>
      </c>
    </row>
    <row r="45" spans="1:6" x14ac:dyDescent="0.35">
      <c r="A45" s="136"/>
      <c r="B45" s="136"/>
      <c r="C45" s="331" t="s">
        <v>758</v>
      </c>
      <c r="D45" s="331"/>
      <c r="E45" s="331"/>
      <c r="F45" s="150">
        <f>SUM(F29:F44)</f>
        <v>4474</v>
      </c>
    </row>
    <row r="46" spans="1:6" x14ac:dyDescent="0.35">
      <c r="A46" s="136" t="s">
        <v>351</v>
      </c>
      <c r="B46" s="136" t="s">
        <v>352</v>
      </c>
      <c r="C46" s="3" t="s">
        <v>82</v>
      </c>
      <c r="D46" s="3" t="s">
        <v>376</v>
      </c>
      <c r="E46" s="3" t="s">
        <v>377</v>
      </c>
      <c r="F46" s="132">
        <v>646</v>
      </c>
    </row>
    <row r="47" spans="1:6" x14ac:dyDescent="0.35">
      <c r="A47" s="136" t="s">
        <v>351</v>
      </c>
      <c r="B47" s="136" t="s">
        <v>352</v>
      </c>
      <c r="C47" s="3" t="s">
        <v>82</v>
      </c>
      <c r="D47" s="3" t="s">
        <v>378</v>
      </c>
      <c r="E47" s="3" t="s">
        <v>379</v>
      </c>
      <c r="F47" s="132">
        <v>1093</v>
      </c>
    </row>
    <row r="48" spans="1:6" x14ac:dyDescent="0.35">
      <c r="A48" s="136" t="s">
        <v>351</v>
      </c>
      <c r="B48" s="136" t="s">
        <v>352</v>
      </c>
      <c r="C48" s="3" t="s">
        <v>82</v>
      </c>
      <c r="D48" s="3" t="s">
        <v>380</v>
      </c>
      <c r="E48" s="3" t="s">
        <v>381</v>
      </c>
      <c r="F48" s="132">
        <v>505</v>
      </c>
    </row>
    <row r="49" spans="1:6" x14ac:dyDescent="0.35">
      <c r="A49" s="136"/>
      <c r="B49" s="136"/>
      <c r="C49" s="332" t="s">
        <v>759</v>
      </c>
      <c r="D49" s="332"/>
      <c r="E49" s="332"/>
      <c r="F49" s="151">
        <f>SUM(F46:F48)</f>
        <v>2244</v>
      </c>
    </row>
    <row r="50" spans="1:6" x14ac:dyDescent="0.35">
      <c r="A50" s="136" t="s">
        <v>351</v>
      </c>
      <c r="B50" s="136" t="s">
        <v>352</v>
      </c>
      <c r="C50" s="6" t="s">
        <v>131</v>
      </c>
      <c r="D50" s="6" t="s">
        <v>382</v>
      </c>
      <c r="E50" s="6" t="s">
        <v>383</v>
      </c>
      <c r="F50" s="133">
        <v>319</v>
      </c>
    </row>
    <row r="51" spans="1:6" x14ac:dyDescent="0.35">
      <c r="A51" s="136"/>
      <c r="B51" s="136"/>
      <c r="C51" s="333" t="s">
        <v>764</v>
      </c>
      <c r="D51" s="333"/>
      <c r="E51" s="333"/>
      <c r="F51" s="150">
        <f>SUM(F50)</f>
        <v>319</v>
      </c>
    </row>
    <row r="52" spans="1:6" x14ac:dyDescent="0.35">
      <c r="A52" s="136" t="s">
        <v>351</v>
      </c>
      <c r="B52" s="136" t="s">
        <v>352</v>
      </c>
      <c r="C52" s="3" t="s">
        <v>154</v>
      </c>
      <c r="D52" s="3" t="s">
        <v>384</v>
      </c>
      <c r="E52" s="3" t="s">
        <v>385</v>
      </c>
      <c r="F52" s="132">
        <v>250</v>
      </c>
    </row>
    <row r="53" spans="1:6" x14ac:dyDescent="0.35">
      <c r="A53" s="136" t="s">
        <v>351</v>
      </c>
      <c r="B53" s="136" t="s">
        <v>352</v>
      </c>
      <c r="C53" s="3" t="s">
        <v>154</v>
      </c>
      <c r="D53" s="3" t="s">
        <v>386</v>
      </c>
      <c r="E53" s="3" t="s">
        <v>387</v>
      </c>
      <c r="F53" s="132">
        <v>1440</v>
      </c>
    </row>
    <row r="54" spans="1:6" x14ac:dyDescent="0.35">
      <c r="A54" s="136" t="s">
        <v>351</v>
      </c>
      <c r="B54" s="136" t="s">
        <v>352</v>
      </c>
      <c r="C54" s="3" t="s">
        <v>154</v>
      </c>
      <c r="D54" s="3" t="s">
        <v>388</v>
      </c>
      <c r="E54" s="3" t="s">
        <v>389</v>
      </c>
      <c r="F54" s="132">
        <v>161</v>
      </c>
    </row>
    <row r="55" spans="1:6" x14ac:dyDescent="0.35">
      <c r="A55" s="136" t="s">
        <v>351</v>
      </c>
      <c r="B55" s="136" t="s">
        <v>352</v>
      </c>
      <c r="C55" s="3" t="s">
        <v>154</v>
      </c>
      <c r="D55" s="3" t="s">
        <v>390</v>
      </c>
      <c r="E55" s="3" t="s">
        <v>391</v>
      </c>
      <c r="F55" s="132">
        <v>961</v>
      </c>
    </row>
    <row r="56" spans="1:6" x14ac:dyDescent="0.35">
      <c r="A56" s="136" t="s">
        <v>351</v>
      </c>
      <c r="B56" s="136" t="s">
        <v>352</v>
      </c>
      <c r="C56" s="3" t="s">
        <v>154</v>
      </c>
      <c r="D56" s="3" t="s">
        <v>430</v>
      </c>
      <c r="E56" s="3" t="s">
        <v>431</v>
      </c>
      <c r="F56" s="132">
        <v>707</v>
      </c>
    </row>
    <row r="57" spans="1:6" x14ac:dyDescent="0.35">
      <c r="A57" s="136"/>
      <c r="B57" s="136"/>
      <c r="C57" s="332" t="s">
        <v>765</v>
      </c>
      <c r="D57" s="332"/>
      <c r="E57" s="332"/>
      <c r="F57" s="151">
        <f>SUM(F52:F56)</f>
        <v>3519</v>
      </c>
    </row>
    <row r="58" spans="1:6" x14ac:dyDescent="0.35">
      <c r="A58" s="136" t="s">
        <v>351</v>
      </c>
      <c r="B58" s="136" t="s">
        <v>352</v>
      </c>
      <c r="C58" s="6" t="s">
        <v>188</v>
      </c>
      <c r="D58" s="6" t="s">
        <v>424</v>
      </c>
      <c r="E58" s="6" t="s">
        <v>425</v>
      </c>
      <c r="F58" s="133">
        <v>324</v>
      </c>
    </row>
    <row r="59" spans="1:6" x14ac:dyDescent="0.35">
      <c r="A59" s="136" t="s">
        <v>351</v>
      </c>
      <c r="B59" s="136" t="s">
        <v>352</v>
      </c>
      <c r="C59" s="6" t="s">
        <v>188</v>
      </c>
      <c r="D59" s="6" t="s">
        <v>426</v>
      </c>
      <c r="E59" s="6" t="s">
        <v>427</v>
      </c>
      <c r="F59" s="133">
        <v>1013</v>
      </c>
    </row>
    <row r="60" spans="1:6" x14ac:dyDescent="0.35">
      <c r="A60" s="136" t="s">
        <v>351</v>
      </c>
      <c r="B60" s="136" t="s">
        <v>352</v>
      </c>
      <c r="C60" s="6" t="s">
        <v>188</v>
      </c>
      <c r="D60" s="6" t="s">
        <v>428</v>
      </c>
      <c r="E60" s="6" t="s">
        <v>429</v>
      </c>
      <c r="F60" s="133">
        <v>17</v>
      </c>
    </row>
    <row r="61" spans="1:6" x14ac:dyDescent="0.35">
      <c r="A61" s="81"/>
      <c r="B61" s="81"/>
      <c r="C61" s="331" t="s">
        <v>766</v>
      </c>
      <c r="D61" s="331"/>
      <c r="E61" s="331"/>
      <c r="F61" s="152">
        <f>SUM(F58:F60)</f>
        <v>1354</v>
      </c>
    </row>
    <row r="62" spans="1:6" x14ac:dyDescent="0.35">
      <c r="A62" s="136" t="s">
        <v>432</v>
      </c>
      <c r="B62" s="136" t="s">
        <v>433</v>
      </c>
      <c r="C62" s="3" t="s">
        <v>48</v>
      </c>
      <c r="D62" s="3" t="s">
        <v>457</v>
      </c>
      <c r="E62" s="3" t="s">
        <v>458</v>
      </c>
      <c r="F62" s="132">
        <v>169</v>
      </c>
    </row>
    <row r="63" spans="1:6" x14ac:dyDescent="0.35">
      <c r="A63" s="136" t="s">
        <v>432</v>
      </c>
      <c r="B63" s="136" t="s">
        <v>433</v>
      </c>
      <c r="C63" s="3" t="s">
        <v>48</v>
      </c>
      <c r="D63" s="3" t="s">
        <v>459</v>
      </c>
      <c r="E63" s="3" t="s">
        <v>460</v>
      </c>
      <c r="F63" s="132">
        <v>16</v>
      </c>
    </row>
    <row r="64" spans="1:6" x14ac:dyDescent="0.35">
      <c r="A64" s="136"/>
      <c r="B64" s="136"/>
      <c r="C64" s="334" t="s">
        <v>767</v>
      </c>
      <c r="D64" s="334"/>
      <c r="E64" s="334"/>
      <c r="F64" s="153">
        <f>SUM(F62:F63)</f>
        <v>185</v>
      </c>
    </row>
    <row r="65" spans="1:6" x14ac:dyDescent="0.35">
      <c r="A65" s="335" t="s">
        <v>768</v>
      </c>
      <c r="B65" s="335"/>
      <c r="C65" s="335"/>
      <c r="D65" s="335"/>
      <c r="E65" s="335"/>
      <c r="F65" s="154">
        <f>SUM(F64,F61,F57,F51,F49,F45)</f>
        <v>12095</v>
      </c>
    </row>
    <row r="66" spans="1:6" x14ac:dyDescent="0.35">
      <c r="A66" s="137" t="s">
        <v>253</v>
      </c>
      <c r="B66" s="137" t="s">
        <v>254</v>
      </c>
      <c r="C66" s="137" t="s">
        <v>757</v>
      </c>
      <c r="D66" s="137" t="s">
        <v>255</v>
      </c>
      <c r="E66" s="137" t="s">
        <v>256</v>
      </c>
      <c r="F66" s="138" t="s">
        <v>257</v>
      </c>
    </row>
    <row r="67" spans="1:6" x14ac:dyDescent="0.35">
      <c r="A67" s="139" t="s">
        <v>461</v>
      </c>
      <c r="B67" s="139" t="s">
        <v>462</v>
      </c>
      <c r="C67" s="143" t="s">
        <v>769</v>
      </c>
      <c r="D67" s="143" t="s">
        <v>278</v>
      </c>
      <c r="E67" s="143" t="s">
        <v>279</v>
      </c>
      <c r="F67" s="144">
        <v>17</v>
      </c>
    </row>
    <row r="68" spans="1:6" x14ac:dyDescent="0.35">
      <c r="A68" s="139" t="s">
        <v>461</v>
      </c>
      <c r="B68" s="139" t="s">
        <v>462</v>
      </c>
      <c r="C68" s="143" t="s">
        <v>769</v>
      </c>
      <c r="D68" s="143" t="s">
        <v>284</v>
      </c>
      <c r="E68" s="143" t="s">
        <v>285</v>
      </c>
      <c r="F68" s="144">
        <v>469</v>
      </c>
    </row>
    <row r="69" spans="1:6" x14ac:dyDescent="0.35">
      <c r="A69" s="139"/>
      <c r="B69" s="139"/>
      <c r="C69" s="336" t="s">
        <v>770</v>
      </c>
      <c r="D69" s="336"/>
      <c r="E69" s="336"/>
      <c r="F69" s="145">
        <f>SUM(F67:F68)</f>
        <v>486</v>
      </c>
    </row>
    <row r="70" spans="1:6" x14ac:dyDescent="0.35">
      <c r="A70" s="139" t="s">
        <v>461</v>
      </c>
      <c r="B70" s="139" t="s">
        <v>462</v>
      </c>
      <c r="C70" s="134" t="s">
        <v>37</v>
      </c>
      <c r="D70" s="134" t="s">
        <v>451</v>
      </c>
      <c r="E70" s="134" t="s">
        <v>452</v>
      </c>
      <c r="F70" s="135">
        <v>71</v>
      </c>
    </row>
    <row r="71" spans="1:6" x14ac:dyDescent="0.35">
      <c r="A71" s="139"/>
      <c r="B71" s="139"/>
      <c r="C71" s="337" t="s">
        <v>771</v>
      </c>
      <c r="D71" s="337"/>
      <c r="E71" s="337"/>
      <c r="F71" s="155">
        <f>SUM(F70)</f>
        <v>71</v>
      </c>
    </row>
    <row r="72" spans="1:6" x14ac:dyDescent="0.35">
      <c r="A72" s="139" t="s">
        <v>461</v>
      </c>
      <c r="B72" s="139" t="s">
        <v>462</v>
      </c>
      <c r="C72" s="143" t="s">
        <v>115</v>
      </c>
      <c r="D72" s="143" t="s">
        <v>326</v>
      </c>
      <c r="E72" s="143" t="s">
        <v>327</v>
      </c>
      <c r="F72" s="144">
        <v>70</v>
      </c>
    </row>
    <row r="73" spans="1:6" x14ac:dyDescent="0.35">
      <c r="A73" s="139" t="s">
        <v>461</v>
      </c>
      <c r="B73" s="139" t="s">
        <v>462</v>
      </c>
      <c r="C73" s="143" t="s">
        <v>115</v>
      </c>
      <c r="D73" s="143" t="s">
        <v>483</v>
      </c>
      <c r="E73" s="143" t="s">
        <v>484</v>
      </c>
      <c r="F73" s="144">
        <v>1301</v>
      </c>
    </row>
    <row r="74" spans="1:6" x14ac:dyDescent="0.35">
      <c r="A74" s="139" t="s">
        <v>461</v>
      </c>
      <c r="B74" s="139" t="s">
        <v>462</v>
      </c>
      <c r="C74" s="143" t="s">
        <v>115</v>
      </c>
      <c r="D74" s="143" t="s">
        <v>328</v>
      </c>
      <c r="E74" s="143" t="s">
        <v>329</v>
      </c>
      <c r="F74" s="144">
        <v>319</v>
      </c>
    </row>
    <row r="75" spans="1:6" x14ac:dyDescent="0.35">
      <c r="A75" s="139"/>
      <c r="B75" s="139"/>
      <c r="C75" s="336" t="s">
        <v>762</v>
      </c>
      <c r="D75" s="336"/>
      <c r="E75" s="336"/>
      <c r="F75" s="145">
        <f>SUM(F72:F74)</f>
        <v>1690</v>
      </c>
    </row>
    <row r="76" spans="1:6" x14ac:dyDescent="0.35">
      <c r="A76" s="139" t="s">
        <v>461</v>
      </c>
      <c r="B76" s="139" t="s">
        <v>462</v>
      </c>
      <c r="C76" s="134" t="s">
        <v>199</v>
      </c>
      <c r="D76" s="134" t="s">
        <v>485</v>
      </c>
      <c r="E76" s="134" t="s">
        <v>486</v>
      </c>
      <c r="F76" s="135">
        <v>2</v>
      </c>
    </row>
    <row r="77" spans="1:6" x14ac:dyDescent="0.35">
      <c r="A77" s="139" t="s">
        <v>461</v>
      </c>
      <c r="B77" s="139" t="s">
        <v>462</v>
      </c>
      <c r="C77" s="134" t="s">
        <v>199</v>
      </c>
      <c r="D77" s="134" t="s">
        <v>487</v>
      </c>
      <c r="E77" s="134" t="s">
        <v>488</v>
      </c>
      <c r="F77" s="135">
        <v>190</v>
      </c>
    </row>
    <row r="78" spans="1:6" x14ac:dyDescent="0.35">
      <c r="A78" s="139"/>
      <c r="B78" s="139"/>
      <c r="C78" s="338" t="s">
        <v>772</v>
      </c>
      <c r="D78" s="338"/>
      <c r="E78" s="338"/>
      <c r="F78" s="135">
        <f>SUM(F76:F77)</f>
        <v>192</v>
      </c>
    </row>
    <row r="79" spans="1:6" x14ac:dyDescent="0.35">
      <c r="A79" s="156"/>
      <c r="B79" s="339" t="s">
        <v>773</v>
      </c>
      <c r="C79" s="339"/>
      <c r="D79" s="339"/>
      <c r="E79" s="339"/>
      <c r="F79" s="149">
        <f>SUM(F78,F75,F71,F69)</f>
        <v>2439</v>
      </c>
    </row>
    <row r="80" spans="1:6" x14ac:dyDescent="0.35">
      <c r="A80" s="137" t="s">
        <v>253</v>
      </c>
      <c r="B80" s="137" t="s">
        <v>254</v>
      </c>
      <c r="C80" s="137" t="s">
        <v>757</v>
      </c>
      <c r="D80" s="137" t="s">
        <v>255</v>
      </c>
      <c r="E80" s="137" t="s">
        <v>256</v>
      </c>
      <c r="F80" s="138" t="s">
        <v>257</v>
      </c>
    </row>
    <row r="81" spans="1:6" x14ac:dyDescent="0.35">
      <c r="A81" s="136" t="s">
        <v>489</v>
      </c>
      <c r="B81" s="136" t="s">
        <v>490</v>
      </c>
      <c r="C81" s="6" t="s">
        <v>82</v>
      </c>
      <c r="D81" s="6" t="s">
        <v>376</v>
      </c>
      <c r="E81" s="6" t="s">
        <v>377</v>
      </c>
      <c r="F81" s="133">
        <v>2</v>
      </c>
    </row>
    <row r="82" spans="1:6" x14ac:dyDescent="0.35">
      <c r="A82" s="136" t="s">
        <v>489</v>
      </c>
      <c r="B82" s="136" t="s">
        <v>490</v>
      </c>
      <c r="C82" s="6" t="s">
        <v>82</v>
      </c>
      <c r="D82" s="6" t="s">
        <v>378</v>
      </c>
      <c r="E82" s="6" t="s">
        <v>379</v>
      </c>
      <c r="F82" s="133">
        <v>1</v>
      </c>
    </row>
    <row r="83" spans="1:6" x14ac:dyDescent="0.35">
      <c r="A83" s="136"/>
      <c r="B83" s="136"/>
      <c r="C83" s="333" t="s">
        <v>759</v>
      </c>
      <c r="D83" s="333"/>
      <c r="E83" s="333"/>
      <c r="F83" s="150">
        <f>SUM(F81:F82)</f>
        <v>3</v>
      </c>
    </row>
    <row r="84" spans="1:6" x14ac:dyDescent="0.35">
      <c r="A84" s="136" t="s">
        <v>489</v>
      </c>
      <c r="B84" s="136" t="s">
        <v>490</v>
      </c>
      <c r="C84" s="3" t="s">
        <v>154</v>
      </c>
      <c r="D84" s="3" t="s">
        <v>388</v>
      </c>
      <c r="E84" s="3" t="s">
        <v>389</v>
      </c>
      <c r="F84" s="132">
        <v>1</v>
      </c>
    </row>
    <row r="85" spans="1:6" x14ac:dyDescent="0.35">
      <c r="A85" s="136"/>
      <c r="B85" s="136"/>
      <c r="C85" s="332" t="s">
        <v>765</v>
      </c>
      <c r="D85" s="332"/>
      <c r="E85" s="332"/>
      <c r="F85" s="151">
        <f>SUM(F84)</f>
        <v>1</v>
      </c>
    </row>
    <row r="86" spans="1:6" x14ac:dyDescent="0.35">
      <c r="A86" s="157"/>
      <c r="B86" s="335" t="s">
        <v>774</v>
      </c>
      <c r="C86" s="335"/>
      <c r="D86" s="335"/>
      <c r="E86" s="335"/>
      <c r="F86" s="154">
        <f>SUM(F85,F83)</f>
        <v>4</v>
      </c>
    </row>
    <row r="87" spans="1:6" x14ac:dyDescent="0.35">
      <c r="A87" s="137" t="s">
        <v>253</v>
      </c>
      <c r="B87" s="137" t="s">
        <v>254</v>
      </c>
      <c r="C87" s="137" t="s">
        <v>757</v>
      </c>
      <c r="D87" s="137" t="s">
        <v>255</v>
      </c>
      <c r="E87" s="137" t="s">
        <v>256</v>
      </c>
      <c r="F87" s="138" t="s">
        <v>257</v>
      </c>
    </row>
    <row r="88" spans="1:6" x14ac:dyDescent="0.35">
      <c r="A88" s="139" t="s">
        <v>503</v>
      </c>
      <c r="B88" s="139" t="s">
        <v>504</v>
      </c>
      <c r="C88" s="140" t="s">
        <v>769</v>
      </c>
      <c r="D88" s="140" t="s">
        <v>292</v>
      </c>
      <c r="E88" s="140" t="s">
        <v>293</v>
      </c>
      <c r="F88" s="141">
        <v>2</v>
      </c>
    </row>
    <row r="89" spans="1:6" x14ac:dyDescent="0.35">
      <c r="A89" s="139"/>
      <c r="B89" s="139"/>
      <c r="C89" s="340" t="s">
        <v>770</v>
      </c>
      <c r="D89" s="340"/>
      <c r="E89" s="340"/>
      <c r="F89" s="158">
        <f>SUM(F88)</f>
        <v>2</v>
      </c>
    </row>
    <row r="90" spans="1:6" x14ac:dyDescent="0.35">
      <c r="A90" s="156"/>
      <c r="B90" s="339" t="s">
        <v>775</v>
      </c>
      <c r="C90" s="339"/>
      <c r="D90" s="339"/>
      <c r="E90" s="339"/>
      <c r="F90" s="149">
        <f>SUM(F89)</f>
        <v>2</v>
      </c>
    </row>
    <row r="91" spans="1:6" x14ac:dyDescent="0.35">
      <c r="A91" s="137" t="s">
        <v>253</v>
      </c>
      <c r="B91" s="137" t="s">
        <v>254</v>
      </c>
      <c r="C91" s="137" t="s">
        <v>757</v>
      </c>
      <c r="D91" s="137" t="s">
        <v>255</v>
      </c>
      <c r="E91" s="137" t="s">
        <v>256</v>
      </c>
      <c r="F91" s="138" t="s">
        <v>257</v>
      </c>
    </row>
    <row r="92" spans="1:6" x14ac:dyDescent="0.35">
      <c r="A92" s="136" t="s">
        <v>525</v>
      </c>
      <c r="B92" s="136" t="s">
        <v>526</v>
      </c>
      <c r="C92" s="3" t="s">
        <v>60</v>
      </c>
      <c r="D92" s="3" t="s">
        <v>491</v>
      </c>
      <c r="E92" s="3" t="s">
        <v>492</v>
      </c>
      <c r="F92" s="132">
        <v>95</v>
      </c>
    </row>
    <row r="93" spans="1:6" x14ac:dyDescent="0.35">
      <c r="A93" s="136" t="s">
        <v>525</v>
      </c>
      <c r="B93" s="136" t="s">
        <v>526</v>
      </c>
      <c r="C93" s="3" t="s">
        <v>60</v>
      </c>
      <c r="D93" s="3" t="s">
        <v>493</v>
      </c>
      <c r="E93" s="3" t="s">
        <v>494</v>
      </c>
      <c r="F93" s="132">
        <v>877</v>
      </c>
    </row>
    <row r="94" spans="1:6" x14ac:dyDescent="0.35">
      <c r="A94" s="136" t="s">
        <v>525</v>
      </c>
      <c r="B94" s="136" t="s">
        <v>526</v>
      </c>
      <c r="C94" s="3" t="s">
        <v>60</v>
      </c>
      <c r="D94" s="3" t="s">
        <v>495</v>
      </c>
      <c r="E94" s="3" t="s">
        <v>496</v>
      </c>
      <c r="F94" s="132">
        <v>1019</v>
      </c>
    </row>
    <row r="95" spans="1:6" x14ac:dyDescent="0.35">
      <c r="A95" s="136" t="s">
        <v>525</v>
      </c>
      <c r="B95" s="136" t="s">
        <v>526</v>
      </c>
      <c r="C95" s="3" t="s">
        <v>60</v>
      </c>
      <c r="D95" s="3" t="s">
        <v>497</v>
      </c>
      <c r="E95" s="3" t="s">
        <v>498</v>
      </c>
      <c r="F95" s="132">
        <v>1099</v>
      </c>
    </row>
    <row r="96" spans="1:6" x14ac:dyDescent="0.35">
      <c r="A96" s="136" t="s">
        <v>525</v>
      </c>
      <c r="B96" s="136" t="s">
        <v>526</v>
      </c>
      <c r="C96" s="80" t="s">
        <v>60</v>
      </c>
      <c r="D96" s="3" t="s">
        <v>499</v>
      </c>
      <c r="E96" s="3" t="s">
        <v>500</v>
      </c>
      <c r="F96" s="132">
        <v>528</v>
      </c>
    </row>
    <row r="97" spans="1:6" x14ac:dyDescent="0.35">
      <c r="A97" s="136" t="s">
        <v>525</v>
      </c>
      <c r="B97" s="136" t="s">
        <v>526</v>
      </c>
      <c r="C97" s="3" t="s">
        <v>60</v>
      </c>
      <c r="D97" s="3" t="s">
        <v>501</v>
      </c>
      <c r="E97" s="3" t="s">
        <v>502</v>
      </c>
      <c r="F97" s="132">
        <v>456</v>
      </c>
    </row>
    <row r="98" spans="1:6" x14ac:dyDescent="0.35">
      <c r="A98" s="136"/>
      <c r="B98" s="136"/>
      <c r="C98" s="332" t="s">
        <v>758</v>
      </c>
      <c r="D98" s="332"/>
      <c r="E98" s="332"/>
      <c r="F98" s="151">
        <f>SUM(F92:F97)</f>
        <v>4074</v>
      </c>
    </row>
    <row r="99" spans="1:6" x14ac:dyDescent="0.35">
      <c r="A99" s="136" t="s">
        <v>525</v>
      </c>
      <c r="B99" s="136" t="s">
        <v>526</v>
      </c>
      <c r="C99" s="6" t="s">
        <v>163</v>
      </c>
      <c r="D99" s="6" t="s">
        <v>547</v>
      </c>
      <c r="E99" s="6" t="s">
        <v>548</v>
      </c>
      <c r="F99" s="133">
        <v>1721</v>
      </c>
    </row>
    <row r="100" spans="1:6" x14ac:dyDescent="0.35">
      <c r="A100" s="136" t="s">
        <v>525</v>
      </c>
      <c r="B100" s="136" t="s">
        <v>526</v>
      </c>
      <c r="C100" s="6" t="s">
        <v>163</v>
      </c>
      <c r="D100" s="6" t="s">
        <v>549</v>
      </c>
      <c r="E100" s="6" t="s">
        <v>550</v>
      </c>
      <c r="F100" s="133">
        <v>301</v>
      </c>
    </row>
    <row r="101" spans="1:6" x14ac:dyDescent="0.35">
      <c r="A101" s="136"/>
      <c r="B101" s="136"/>
      <c r="C101" s="341" t="s">
        <v>776</v>
      </c>
      <c r="D101" s="341"/>
      <c r="E101" s="341"/>
      <c r="F101" s="159">
        <f>SUM(F99:F100)</f>
        <v>2022</v>
      </c>
    </row>
    <row r="102" spans="1:6" x14ac:dyDescent="0.35">
      <c r="A102" s="157"/>
      <c r="B102" s="335" t="s">
        <v>777</v>
      </c>
      <c r="C102" s="335"/>
      <c r="D102" s="335"/>
      <c r="E102" s="335"/>
      <c r="F102" s="154">
        <f>SUM(F101,F98)</f>
        <v>6096</v>
      </c>
    </row>
    <row r="103" spans="1:6" x14ac:dyDescent="0.35">
      <c r="A103" s="137" t="s">
        <v>253</v>
      </c>
      <c r="B103" s="137" t="s">
        <v>254</v>
      </c>
      <c r="C103" s="137" t="s">
        <v>757</v>
      </c>
      <c r="D103" s="137" t="s">
        <v>255</v>
      </c>
      <c r="E103" s="137" t="s">
        <v>256</v>
      </c>
      <c r="F103" s="138" t="s">
        <v>257</v>
      </c>
    </row>
    <row r="104" spans="1:6" x14ac:dyDescent="0.35">
      <c r="A104" s="139" t="s">
        <v>551</v>
      </c>
      <c r="B104" s="139" t="s">
        <v>552</v>
      </c>
      <c r="C104" s="160" t="s">
        <v>769</v>
      </c>
      <c r="D104" s="160" t="s">
        <v>282</v>
      </c>
      <c r="E104" s="160" t="s">
        <v>283</v>
      </c>
      <c r="F104" s="161">
        <v>4</v>
      </c>
    </row>
    <row r="105" spans="1:6" x14ac:dyDescent="0.35">
      <c r="A105" s="139"/>
      <c r="B105" s="139"/>
      <c r="C105" s="336" t="s">
        <v>770</v>
      </c>
      <c r="D105" s="336"/>
      <c r="E105" s="336"/>
      <c r="F105" s="145">
        <f>SUM(F104)</f>
        <v>4</v>
      </c>
    </row>
    <row r="106" spans="1:6" x14ac:dyDescent="0.35">
      <c r="A106" s="139" t="s">
        <v>551</v>
      </c>
      <c r="B106" s="139" t="s">
        <v>552</v>
      </c>
      <c r="C106" s="134" t="s">
        <v>48</v>
      </c>
      <c r="D106" s="134" t="s">
        <v>469</v>
      </c>
      <c r="E106" s="134" t="s">
        <v>470</v>
      </c>
      <c r="F106" s="135">
        <v>16</v>
      </c>
    </row>
    <row r="107" spans="1:6" x14ac:dyDescent="0.35">
      <c r="A107" s="139" t="s">
        <v>551</v>
      </c>
      <c r="B107" s="139" t="s">
        <v>552</v>
      </c>
      <c r="C107" s="134" t="s">
        <v>48</v>
      </c>
      <c r="D107" s="134" t="s">
        <v>471</v>
      </c>
      <c r="E107" s="134" t="s">
        <v>472</v>
      </c>
      <c r="F107" s="135">
        <v>42</v>
      </c>
    </row>
    <row r="108" spans="1:6" x14ac:dyDescent="0.35">
      <c r="A108" s="139" t="s">
        <v>551</v>
      </c>
      <c r="B108" s="139" t="s">
        <v>552</v>
      </c>
      <c r="C108" s="134" t="s">
        <v>48</v>
      </c>
      <c r="D108" s="134" t="s">
        <v>473</v>
      </c>
      <c r="E108" s="134" t="s">
        <v>474</v>
      </c>
      <c r="F108" s="135">
        <v>56</v>
      </c>
    </row>
    <row r="109" spans="1:6" x14ac:dyDescent="0.35">
      <c r="A109" s="139"/>
      <c r="B109" s="139"/>
      <c r="C109" s="342" t="s">
        <v>767</v>
      </c>
      <c r="D109" s="342"/>
      <c r="E109" s="342"/>
      <c r="F109" s="162">
        <f>SUM(F106:F108)</f>
        <v>114</v>
      </c>
    </row>
    <row r="110" spans="1:6" x14ac:dyDescent="0.35">
      <c r="A110" s="156"/>
      <c r="B110" s="339" t="s">
        <v>778</v>
      </c>
      <c r="C110" s="339"/>
      <c r="D110" s="339"/>
      <c r="E110" s="339"/>
      <c r="F110" s="149">
        <f>SUM(F109,F105)</f>
        <v>118</v>
      </c>
    </row>
    <row r="111" spans="1:6" x14ac:dyDescent="0.35">
      <c r="A111" s="137" t="s">
        <v>253</v>
      </c>
      <c r="B111" s="137" t="s">
        <v>254</v>
      </c>
      <c r="C111" s="137" t="s">
        <v>757</v>
      </c>
      <c r="D111" s="137" t="s">
        <v>255</v>
      </c>
      <c r="E111" s="137" t="s">
        <v>256</v>
      </c>
      <c r="F111" s="138" t="s">
        <v>257</v>
      </c>
    </row>
    <row r="112" spans="1:6" x14ac:dyDescent="0.35">
      <c r="A112" s="136" t="s">
        <v>605</v>
      </c>
      <c r="B112" s="136" t="s">
        <v>606</v>
      </c>
      <c r="C112" s="6" t="s">
        <v>37</v>
      </c>
      <c r="D112" s="6" t="s">
        <v>453</v>
      </c>
      <c r="E112" s="6" t="s">
        <v>454</v>
      </c>
      <c r="F112" s="133">
        <v>75</v>
      </c>
    </row>
    <row r="113" spans="1:6" x14ac:dyDescent="0.35">
      <c r="A113" s="136"/>
      <c r="B113" s="136"/>
      <c r="C113" s="333" t="s">
        <v>771</v>
      </c>
      <c r="D113" s="333"/>
      <c r="E113" s="333"/>
      <c r="F113" s="150">
        <f>SUM(F112)</f>
        <v>75</v>
      </c>
    </row>
    <row r="114" spans="1:6" x14ac:dyDescent="0.35">
      <c r="A114" s="136" t="s">
        <v>605</v>
      </c>
      <c r="B114" s="136" t="s">
        <v>606</v>
      </c>
      <c r="C114" s="3" t="s">
        <v>48</v>
      </c>
      <c r="D114" s="3" t="s">
        <v>467</v>
      </c>
      <c r="E114" s="3" t="s">
        <v>468</v>
      </c>
      <c r="F114" s="132">
        <v>151</v>
      </c>
    </row>
    <row r="115" spans="1:6" x14ac:dyDescent="0.35">
      <c r="A115" s="136" t="s">
        <v>605</v>
      </c>
      <c r="B115" s="136" t="s">
        <v>606</v>
      </c>
      <c r="C115" s="3" t="s">
        <v>48</v>
      </c>
      <c r="D115" s="3" t="s">
        <v>477</v>
      </c>
      <c r="E115" s="3" t="s">
        <v>478</v>
      </c>
      <c r="F115" s="132">
        <v>8</v>
      </c>
    </row>
    <row r="116" spans="1:6" x14ac:dyDescent="0.35">
      <c r="A116" s="136" t="s">
        <v>605</v>
      </c>
      <c r="B116" s="136" t="s">
        <v>606</v>
      </c>
      <c r="C116" s="3" t="s">
        <v>48</v>
      </c>
      <c r="D116" s="3" t="s">
        <v>479</v>
      </c>
      <c r="E116" s="3" t="s">
        <v>480</v>
      </c>
      <c r="F116" s="132">
        <v>20</v>
      </c>
    </row>
    <row r="117" spans="1:6" x14ac:dyDescent="0.35">
      <c r="A117" s="136"/>
      <c r="B117" s="136"/>
      <c r="C117" s="332" t="s">
        <v>767</v>
      </c>
      <c r="D117" s="332"/>
      <c r="E117" s="332"/>
      <c r="F117" s="151">
        <f>SUM(F114:F116)</f>
        <v>179</v>
      </c>
    </row>
    <row r="118" spans="1:6" x14ac:dyDescent="0.35">
      <c r="A118" s="136" t="s">
        <v>605</v>
      </c>
      <c r="B118" s="136" t="s">
        <v>606</v>
      </c>
      <c r="C118" s="6" t="s">
        <v>199</v>
      </c>
      <c r="D118" s="6" t="s">
        <v>621</v>
      </c>
      <c r="E118" s="6" t="s">
        <v>622</v>
      </c>
      <c r="F118" s="133">
        <v>901</v>
      </c>
    </row>
    <row r="119" spans="1:6" x14ac:dyDescent="0.35">
      <c r="A119" s="136" t="s">
        <v>605</v>
      </c>
      <c r="B119" s="136" t="s">
        <v>606</v>
      </c>
      <c r="C119" s="6" t="s">
        <v>199</v>
      </c>
      <c r="D119" s="6" t="s">
        <v>623</v>
      </c>
      <c r="E119" s="6" t="s">
        <v>624</v>
      </c>
      <c r="F119" s="133">
        <v>17</v>
      </c>
    </row>
    <row r="120" spans="1:6" x14ac:dyDescent="0.35">
      <c r="A120" s="136" t="s">
        <v>605</v>
      </c>
      <c r="B120" s="136" t="s">
        <v>606</v>
      </c>
      <c r="C120" s="6" t="s">
        <v>199</v>
      </c>
      <c r="D120" s="6" t="s">
        <v>625</v>
      </c>
      <c r="E120" s="6" t="s">
        <v>626</v>
      </c>
      <c r="F120" s="133">
        <v>258</v>
      </c>
    </row>
    <row r="121" spans="1:6" x14ac:dyDescent="0.35">
      <c r="A121" s="136"/>
      <c r="B121" s="136"/>
      <c r="C121" s="341" t="s">
        <v>772</v>
      </c>
      <c r="D121" s="341"/>
      <c r="E121" s="341"/>
      <c r="F121" s="159">
        <f>SUM(F118:F120)</f>
        <v>1176</v>
      </c>
    </row>
    <row r="122" spans="1:6" x14ac:dyDescent="0.35">
      <c r="A122" s="157"/>
      <c r="B122" s="335" t="s">
        <v>779</v>
      </c>
      <c r="C122" s="335"/>
      <c r="D122" s="335"/>
      <c r="E122" s="335"/>
      <c r="F122" s="154">
        <f>SUM(F121,F117,F113)</f>
        <v>1430</v>
      </c>
    </row>
    <row r="123" spans="1:6" x14ac:dyDescent="0.35">
      <c r="A123" s="137" t="s">
        <v>253</v>
      </c>
      <c r="B123" s="137" t="s">
        <v>254</v>
      </c>
      <c r="C123" s="137" t="s">
        <v>757</v>
      </c>
      <c r="D123" s="137" t="s">
        <v>255</v>
      </c>
      <c r="E123" s="137" t="s">
        <v>256</v>
      </c>
      <c r="F123" s="138" t="s">
        <v>257</v>
      </c>
    </row>
    <row r="124" spans="1:6" x14ac:dyDescent="0.35">
      <c r="A124" s="139" t="s">
        <v>627</v>
      </c>
      <c r="B124" s="139" t="s">
        <v>628</v>
      </c>
      <c r="C124" s="140" t="s">
        <v>188</v>
      </c>
      <c r="D124" s="140" t="s">
        <v>635</v>
      </c>
      <c r="E124" s="140" t="s">
        <v>636</v>
      </c>
      <c r="F124" s="141">
        <v>90</v>
      </c>
    </row>
    <row r="125" spans="1:6" x14ac:dyDescent="0.35">
      <c r="A125" s="139"/>
      <c r="B125" s="139"/>
      <c r="C125" s="340" t="s">
        <v>766</v>
      </c>
      <c r="D125" s="340"/>
      <c r="E125" s="340"/>
      <c r="F125" s="158">
        <f>SUM(F124)</f>
        <v>90</v>
      </c>
    </row>
    <row r="126" spans="1:6" x14ac:dyDescent="0.35">
      <c r="A126" s="156"/>
      <c r="B126" s="339" t="s">
        <v>780</v>
      </c>
      <c r="C126" s="339"/>
      <c r="D126" s="339"/>
      <c r="E126" s="339"/>
      <c r="F126" s="149">
        <f>SUM(F125)</f>
        <v>90</v>
      </c>
    </row>
    <row r="127" spans="1:6" x14ac:dyDescent="0.35">
      <c r="A127" s="137" t="s">
        <v>253</v>
      </c>
      <c r="B127" s="137" t="s">
        <v>254</v>
      </c>
      <c r="C127" s="137" t="s">
        <v>757</v>
      </c>
      <c r="D127" s="137" t="s">
        <v>255</v>
      </c>
      <c r="E127" s="137" t="s">
        <v>256</v>
      </c>
      <c r="F127" s="138" t="s">
        <v>257</v>
      </c>
    </row>
    <row r="128" spans="1:6" x14ac:dyDescent="0.35">
      <c r="A128" s="136" t="s">
        <v>637</v>
      </c>
      <c r="B128" s="136" t="s">
        <v>638</v>
      </c>
      <c r="C128" s="6" t="s">
        <v>760</v>
      </c>
      <c r="D128" s="6" t="s">
        <v>529</v>
      </c>
      <c r="E128" s="6" t="s">
        <v>502</v>
      </c>
      <c r="F128" s="133">
        <v>20</v>
      </c>
    </row>
    <row r="129" spans="1:6" x14ac:dyDescent="0.35">
      <c r="A129" s="136" t="s">
        <v>637</v>
      </c>
      <c r="B129" s="136" t="s">
        <v>638</v>
      </c>
      <c r="C129" s="6" t="s">
        <v>760</v>
      </c>
      <c r="D129" s="6" t="s">
        <v>322</v>
      </c>
      <c r="E129" s="6" t="s">
        <v>323</v>
      </c>
      <c r="F129" s="133">
        <v>1804</v>
      </c>
    </row>
    <row r="130" spans="1:6" x14ac:dyDescent="0.35">
      <c r="A130" s="136"/>
      <c r="B130" s="136"/>
      <c r="C130" s="333" t="s">
        <v>761</v>
      </c>
      <c r="D130" s="333"/>
      <c r="E130" s="333"/>
      <c r="F130" s="150">
        <f>SUM(F128:F129)</f>
        <v>1824</v>
      </c>
    </row>
    <row r="131" spans="1:6" x14ac:dyDescent="0.35">
      <c r="A131" s="136" t="s">
        <v>637</v>
      </c>
      <c r="B131" s="136" t="s">
        <v>638</v>
      </c>
      <c r="C131" s="3" t="s">
        <v>199</v>
      </c>
      <c r="D131" s="3" t="s">
        <v>655</v>
      </c>
      <c r="E131" s="3" t="s">
        <v>656</v>
      </c>
      <c r="F131" s="132">
        <v>407</v>
      </c>
    </row>
    <row r="132" spans="1:6" x14ac:dyDescent="0.35">
      <c r="A132" s="136" t="s">
        <v>637</v>
      </c>
      <c r="B132" s="136" t="s">
        <v>638</v>
      </c>
      <c r="C132" s="3" t="s">
        <v>199</v>
      </c>
      <c r="D132" s="3" t="s">
        <v>657</v>
      </c>
      <c r="E132" s="3" t="s">
        <v>658</v>
      </c>
      <c r="F132" s="132">
        <v>69</v>
      </c>
    </row>
    <row r="133" spans="1:6" x14ac:dyDescent="0.35">
      <c r="A133" s="136" t="s">
        <v>637</v>
      </c>
      <c r="B133" s="136" t="s">
        <v>638</v>
      </c>
      <c r="C133" s="3" t="s">
        <v>199</v>
      </c>
      <c r="D133" s="3" t="s">
        <v>625</v>
      </c>
      <c r="E133" s="3" t="s">
        <v>626</v>
      </c>
      <c r="F133" s="132">
        <v>31</v>
      </c>
    </row>
    <row r="134" spans="1:6" x14ac:dyDescent="0.35">
      <c r="A134" s="136"/>
      <c r="B134" s="136"/>
      <c r="C134" s="345" t="s">
        <v>772</v>
      </c>
      <c r="D134" s="345"/>
      <c r="E134" s="345"/>
      <c r="F134" s="163">
        <f>SUM(F131:F133)</f>
        <v>507</v>
      </c>
    </row>
    <row r="135" spans="1:6" x14ac:dyDescent="0.35">
      <c r="A135" s="157"/>
      <c r="B135" s="335" t="s">
        <v>781</v>
      </c>
      <c r="C135" s="335"/>
      <c r="D135" s="335"/>
      <c r="E135" s="335"/>
      <c r="F135" s="154">
        <f>SUM(F134,F130)</f>
        <v>2331</v>
      </c>
    </row>
    <row r="136" spans="1:6" x14ac:dyDescent="0.35">
      <c r="A136" s="137" t="s">
        <v>253</v>
      </c>
      <c r="B136" s="137" t="s">
        <v>254</v>
      </c>
      <c r="C136" s="137" t="s">
        <v>757</v>
      </c>
      <c r="D136" s="137" t="s">
        <v>255</v>
      </c>
      <c r="E136" s="137" t="s">
        <v>256</v>
      </c>
      <c r="F136" s="138" t="s">
        <v>257</v>
      </c>
    </row>
    <row r="137" spans="1:6" x14ac:dyDescent="0.35">
      <c r="A137" s="139" t="s">
        <v>665</v>
      </c>
      <c r="B137" s="139" t="s">
        <v>666</v>
      </c>
      <c r="C137" s="140" t="s">
        <v>146</v>
      </c>
      <c r="D137" s="140" t="s">
        <v>617</v>
      </c>
      <c r="E137" s="140" t="s">
        <v>618</v>
      </c>
      <c r="F137" s="141">
        <v>70</v>
      </c>
    </row>
    <row r="138" spans="1:6" x14ac:dyDescent="0.35">
      <c r="A138" s="139"/>
      <c r="B138" s="139"/>
      <c r="C138" s="340" t="s">
        <v>782</v>
      </c>
      <c r="D138" s="340"/>
      <c r="E138" s="340"/>
      <c r="F138" s="158">
        <f>SUM(F137)</f>
        <v>70</v>
      </c>
    </row>
    <row r="139" spans="1:6" x14ac:dyDescent="0.35">
      <c r="A139" s="156"/>
      <c r="B139" s="339" t="s">
        <v>783</v>
      </c>
      <c r="C139" s="339"/>
      <c r="D139" s="339"/>
      <c r="E139" s="339"/>
      <c r="F139" s="149">
        <f>SUM(F138)</f>
        <v>70</v>
      </c>
    </row>
    <row r="140" spans="1:6" x14ac:dyDescent="0.35">
      <c r="A140" s="137" t="s">
        <v>253</v>
      </c>
      <c r="B140" s="137" t="s">
        <v>254</v>
      </c>
      <c r="C140" s="137" t="s">
        <v>757</v>
      </c>
      <c r="D140" s="137" t="s">
        <v>255</v>
      </c>
      <c r="E140" s="137" t="s">
        <v>256</v>
      </c>
      <c r="F140" s="138" t="s">
        <v>257</v>
      </c>
    </row>
    <row r="141" spans="1:6" x14ac:dyDescent="0.35">
      <c r="A141" s="136" t="s">
        <v>677</v>
      </c>
      <c r="B141" s="136" t="s">
        <v>678</v>
      </c>
      <c r="C141" s="3" t="s">
        <v>115</v>
      </c>
      <c r="D141" s="3" t="s">
        <v>557</v>
      </c>
      <c r="E141" s="3" t="s">
        <v>558</v>
      </c>
      <c r="F141" s="132">
        <v>233</v>
      </c>
    </row>
    <row r="142" spans="1:6" x14ac:dyDescent="0.35">
      <c r="A142" s="136" t="s">
        <v>677</v>
      </c>
      <c r="B142" s="136" t="s">
        <v>678</v>
      </c>
      <c r="C142" s="3" t="s">
        <v>115</v>
      </c>
      <c r="D142" s="3" t="s">
        <v>561</v>
      </c>
      <c r="E142" s="3" t="s">
        <v>562</v>
      </c>
      <c r="F142" s="132">
        <v>1</v>
      </c>
    </row>
    <row r="143" spans="1:6" x14ac:dyDescent="0.35">
      <c r="A143" s="136" t="s">
        <v>677</v>
      </c>
      <c r="B143" s="136" t="s">
        <v>678</v>
      </c>
      <c r="C143" s="3" t="s">
        <v>115</v>
      </c>
      <c r="D143" s="3" t="s">
        <v>572</v>
      </c>
      <c r="E143" s="3" t="s">
        <v>573</v>
      </c>
      <c r="F143" s="132">
        <v>15</v>
      </c>
    </row>
    <row r="144" spans="1:6" x14ac:dyDescent="0.35">
      <c r="A144" s="136"/>
      <c r="B144" s="136"/>
      <c r="C144" s="345" t="s">
        <v>762</v>
      </c>
      <c r="D144" s="345"/>
      <c r="E144" s="345"/>
      <c r="F144" s="163">
        <f>SUM(F141:F143)</f>
        <v>249</v>
      </c>
    </row>
    <row r="145" spans="1:6" x14ac:dyDescent="0.35">
      <c r="A145" s="157"/>
      <c r="B145" s="335" t="s">
        <v>784</v>
      </c>
      <c r="C145" s="335"/>
      <c r="D145" s="335"/>
      <c r="E145" s="335"/>
      <c r="F145" s="154">
        <f>SUM(F144)</f>
        <v>249</v>
      </c>
    </row>
    <row r="146" spans="1:6" x14ac:dyDescent="0.35">
      <c r="A146" s="137" t="s">
        <v>253</v>
      </c>
      <c r="B146" s="137" t="s">
        <v>254</v>
      </c>
      <c r="C146" s="137" t="s">
        <v>757</v>
      </c>
      <c r="D146" s="137" t="s">
        <v>255</v>
      </c>
      <c r="E146" s="137" t="s">
        <v>256</v>
      </c>
      <c r="F146" s="138" t="s">
        <v>257</v>
      </c>
    </row>
    <row r="147" spans="1:6" x14ac:dyDescent="0.35">
      <c r="A147" s="139" t="s">
        <v>701</v>
      </c>
      <c r="B147" s="139" t="s">
        <v>702</v>
      </c>
      <c r="C147" s="134" t="s">
        <v>206</v>
      </c>
      <c r="D147" s="134" t="s">
        <v>688</v>
      </c>
      <c r="E147" s="134" t="s">
        <v>689</v>
      </c>
      <c r="F147" s="135">
        <v>99</v>
      </c>
    </row>
    <row r="148" spans="1:6" x14ac:dyDescent="0.35">
      <c r="A148" s="76"/>
      <c r="B148" s="76"/>
      <c r="C148" s="343" t="s">
        <v>785</v>
      </c>
      <c r="D148" s="343"/>
      <c r="E148" s="343"/>
      <c r="F148" s="164">
        <f>SUM(F147)</f>
        <v>99</v>
      </c>
    </row>
    <row r="149" spans="1:6" x14ac:dyDescent="0.35">
      <c r="A149" s="76"/>
      <c r="B149" s="76"/>
      <c r="C149" s="76"/>
      <c r="D149" s="76"/>
      <c r="E149" s="76"/>
      <c r="F149" s="130">
        <f>SUM(F148)</f>
        <v>99</v>
      </c>
    </row>
    <row r="150" spans="1:6" x14ac:dyDescent="0.35">
      <c r="A150" s="165"/>
      <c r="B150" s="344" t="s">
        <v>786</v>
      </c>
      <c r="C150" s="344"/>
      <c r="D150" s="344"/>
      <c r="E150" s="344"/>
      <c r="F150" s="166">
        <f>SUM(F149)</f>
        <v>99</v>
      </c>
    </row>
  </sheetData>
  <mergeCells count="45">
    <mergeCell ref="B126:E126"/>
    <mergeCell ref="B145:E145"/>
    <mergeCell ref="C148:E148"/>
    <mergeCell ref="B150:E150"/>
    <mergeCell ref="C130:E130"/>
    <mergeCell ref="C134:E134"/>
    <mergeCell ref="B135:E135"/>
    <mergeCell ref="C138:E138"/>
    <mergeCell ref="B139:E139"/>
    <mergeCell ref="C144:E144"/>
    <mergeCell ref="C113:E113"/>
    <mergeCell ref="C117:E117"/>
    <mergeCell ref="C121:E121"/>
    <mergeCell ref="B122:E122"/>
    <mergeCell ref="C125:E125"/>
    <mergeCell ref="C101:E101"/>
    <mergeCell ref="B102:E102"/>
    <mergeCell ref="C105:E105"/>
    <mergeCell ref="C109:E109"/>
    <mergeCell ref="B110:E110"/>
    <mergeCell ref="C85:E85"/>
    <mergeCell ref="B86:E86"/>
    <mergeCell ref="C89:E89"/>
    <mergeCell ref="B90:E90"/>
    <mergeCell ref="C98:E98"/>
    <mergeCell ref="C71:E71"/>
    <mergeCell ref="C75:E75"/>
    <mergeCell ref="C78:E78"/>
    <mergeCell ref="B79:E79"/>
    <mergeCell ref="C83:E83"/>
    <mergeCell ref="C57:E57"/>
    <mergeCell ref="C61:E61"/>
    <mergeCell ref="C64:E64"/>
    <mergeCell ref="A65:E65"/>
    <mergeCell ref="C69:E69"/>
    <mergeCell ref="C26:E26"/>
    <mergeCell ref="B27:E27"/>
    <mergeCell ref="C45:E45"/>
    <mergeCell ref="C49:E49"/>
    <mergeCell ref="C51:E51"/>
    <mergeCell ref="A1:F1"/>
    <mergeCell ref="A2:F2"/>
    <mergeCell ref="C9:E9"/>
    <mergeCell ref="C12:E12"/>
    <mergeCell ref="C22:E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B1" workbookViewId="0">
      <selection activeCell="C4" sqref="C4"/>
    </sheetView>
  </sheetViews>
  <sheetFormatPr defaultRowHeight="21" x14ac:dyDescent="0.35"/>
  <cols>
    <col min="1" max="1" width="16.42578125" style="2" customWidth="1"/>
    <col min="2" max="2" width="28" style="2" customWidth="1"/>
    <col min="3" max="3" width="21.140625" style="95" customWidth="1"/>
    <col min="4" max="4" width="12.42578125" style="2" bestFit="1" customWidth="1"/>
    <col min="5" max="16384" width="9.140625" style="2"/>
  </cols>
  <sheetData>
    <row r="1" spans="1:4" x14ac:dyDescent="0.35">
      <c r="A1" s="346" t="s">
        <v>789</v>
      </c>
      <c r="B1" s="346"/>
      <c r="C1" s="346"/>
    </row>
    <row r="2" spans="1:4" x14ac:dyDescent="0.35">
      <c r="A2" s="346" t="s">
        <v>790</v>
      </c>
      <c r="B2" s="346"/>
      <c r="C2" s="346"/>
    </row>
    <row r="3" spans="1:4" x14ac:dyDescent="0.35">
      <c r="A3" s="53" t="s">
        <v>716</v>
      </c>
      <c r="B3" s="53" t="s">
        <v>788</v>
      </c>
      <c r="C3" s="198" t="s">
        <v>717</v>
      </c>
      <c r="D3" s="194" t="s">
        <v>792</v>
      </c>
    </row>
    <row r="4" spans="1:4" x14ac:dyDescent="0.35">
      <c r="A4" s="55" t="s">
        <v>258</v>
      </c>
      <c r="B4" s="55" t="s">
        <v>769</v>
      </c>
      <c r="C4" s="199">
        <v>114995</v>
      </c>
      <c r="D4" s="200">
        <v>154509</v>
      </c>
    </row>
    <row r="5" spans="1:4" x14ac:dyDescent="0.35">
      <c r="A5" s="55" t="s">
        <v>351</v>
      </c>
      <c r="B5" s="55" t="s">
        <v>171</v>
      </c>
      <c r="C5" s="199">
        <v>57018</v>
      </c>
      <c r="D5" s="200">
        <v>67579</v>
      </c>
    </row>
    <row r="6" spans="1:4" x14ac:dyDescent="0.35">
      <c r="A6" s="55" t="s">
        <v>432</v>
      </c>
      <c r="B6" s="55" t="s">
        <v>37</v>
      </c>
      <c r="C6" s="199">
        <v>28388</v>
      </c>
      <c r="D6" s="200">
        <v>46728</v>
      </c>
    </row>
    <row r="7" spans="1:4" x14ac:dyDescent="0.35">
      <c r="A7" s="55" t="s">
        <v>461</v>
      </c>
      <c r="B7" s="55" t="s">
        <v>787</v>
      </c>
      <c r="C7" s="199">
        <v>24541</v>
      </c>
      <c r="D7" s="200">
        <v>36211</v>
      </c>
    </row>
    <row r="8" spans="1:4" x14ac:dyDescent="0.35">
      <c r="A8" s="55" t="s">
        <v>489</v>
      </c>
      <c r="B8" s="55" t="s">
        <v>60</v>
      </c>
      <c r="C8" s="199">
        <v>20827</v>
      </c>
      <c r="D8" s="200">
        <v>48249</v>
      </c>
    </row>
    <row r="9" spans="1:4" x14ac:dyDescent="0.35">
      <c r="A9" s="55" t="s">
        <v>503</v>
      </c>
      <c r="B9" s="55" t="s">
        <v>82</v>
      </c>
      <c r="C9" s="199">
        <v>16903</v>
      </c>
      <c r="D9" s="200">
        <v>34004</v>
      </c>
    </row>
    <row r="10" spans="1:4" x14ac:dyDescent="0.35">
      <c r="A10" s="55" t="s">
        <v>525</v>
      </c>
      <c r="B10" s="55" t="s">
        <v>760</v>
      </c>
      <c r="C10" s="199">
        <v>55130</v>
      </c>
      <c r="D10" s="200">
        <v>94523</v>
      </c>
    </row>
    <row r="11" spans="1:4" x14ac:dyDescent="0.35">
      <c r="A11" s="55" t="s">
        <v>551</v>
      </c>
      <c r="B11" s="55" t="s">
        <v>115</v>
      </c>
      <c r="C11" s="199">
        <v>22271</v>
      </c>
      <c r="D11" s="200">
        <v>42039</v>
      </c>
    </row>
    <row r="12" spans="1:4" x14ac:dyDescent="0.35">
      <c r="A12" s="55" t="s">
        <v>576</v>
      </c>
      <c r="B12" s="55" t="s">
        <v>131</v>
      </c>
      <c r="C12" s="199">
        <v>25450</v>
      </c>
      <c r="D12" s="200">
        <v>38523</v>
      </c>
    </row>
    <row r="13" spans="1:4" x14ac:dyDescent="0.35">
      <c r="A13" s="55" t="s">
        <v>605</v>
      </c>
      <c r="B13" s="55" t="s">
        <v>146</v>
      </c>
      <c r="C13" s="199">
        <v>21145</v>
      </c>
      <c r="D13" s="200">
        <v>30843</v>
      </c>
    </row>
    <row r="14" spans="1:4" x14ac:dyDescent="0.35">
      <c r="A14" s="55" t="s">
        <v>627</v>
      </c>
      <c r="B14" s="55" t="s">
        <v>154</v>
      </c>
      <c r="C14" s="199">
        <v>23448</v>
      </c>
      <c r="D14" s="200">
        <v>37330</v>
      </c>
    </row>
    <row r="15" spans="1:4" x14ac:dyDescent="0.35">
      <c r="A15" s="55" t="s">
        <v>637</v>
      </c>
      <c r="B15" s="55" t="s">
        <v>163</v>
      </c>
      <c r="C15" s="199">
        <v>41364</v>
      </c>
      <c r="D15" s="200">
        <v>65220</v>
      </c>
    </row>
    <row r="16" spans="1:4" x14ac:dyDescent="0.35">
      <c r="A16" s="55" t="s">
        <v>659</v>
      </c>
      <c r="B16" s="55" t="s">
        <v>188</v>
      </c>
      <c r="C16" s="199">
        <v>10775</v>
      </c>
      <c r="D16" s="200">
        <v>18102</v>
      </c>
    </row>
    <row r="17" spans="1:4" x14ac:dyDescent="0.35">
      <c r="A17" s="55" t="s">
        <v>665</v>
      </c>
      <c r="B17" s="55" t="s">
        <v>199</v>
      </c>
      <c r="C17" s="199">
        <v>29739</v>
      </c>
      <c r="D17" s="200">
        <v>48118</v>
      </c>
    </row>
    <row r="18" spans="1:4" x14ac:dyDescent="0.35">
      <c r="A18" s="55" t="s">
        <v>677</v>
      </c>
      <c r="B18" s="55" t="s">
        <v>206</v>
      </c>
      <c r="C18" s="199">
        <v>13710</v>
      </c>
      <c r="D18" s="200">
        <v>22062</v>
      </c>
    </row>
    <row r="19" spans="1:4" x14ac:dyDescent="0.35">
      <c r="A19" s="55" t="s">
        <v>701</v>
      </c>
      <c r="B19" s="55" t="s">
        <v>214</v>
      </c>
      <c r="C19" s="199">
        <v>5711</v>
      </c>
      <c r="D19" s="200">
        <v>8821</v>
      </c>
    </row>
    <row r="20" spans="1:4" x14ac:dyDescent="0.35">
      <c r="C20" s="167">
        <f>SUM(C4:C19)</f>
        <v>511415</v>
      </c>
      <c r="D20" s="201">
        <v>792861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21"/>
  <sheetViews>
    <sheetView tabSelected="1" zoomScale="90" zoomScaleNormal="9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S225" sqref="S225"/>
    </sheetView>
  </sheetViews>
  <sheetFormatPr defaultRowHeight="12.75" x14ac:dyDescent="0.2"/>
  <cols>
    <col min="1" max="1" width="9.42578125" customWidth="1"/>
    <col min="2" max="2" width="14.7109375" customWidth="1"/>
    <col min="3" max="3" width="37.28515625" bestFit="1" customWidth="1"/>
    <col min="4" max="4" width="19.42578125" style="183" bestFit="1" customWidth="1"/>
    <col min="5" max="6" width="12.42578125" style="183" bestFit="1" customWidth="1"/>
    <col min="7" max="7" width="10.85546875" style="183" bestFit="1" customWidth="1"/>
    <col min="8" max="8" width="18.7109375" style="183" bestFit="1" customWidth="1"/>
    <col min="9" max="9" width="12" style="183" bestFit="1" customWidth="1"/>
    <col min="10" max="10" width="13.5703125" style="183" customWidth="1"/>
    <col min="11" max="11" width="10.5703125" style="11" customWidth="1"/>
    <col min="12" max="14" width="12.140625" style="189" customWidth="1"/>
    <col min="15" max="15" width="19" customWidth="1"/>
    <col min="16" max="16" width="18.5703125" style="197" customWidth="1"/>
    <col min="17" max="17" width="14.5703125" customWidth="1"/>
    <col min="18" max="18" width="12.42578125" bestFit="1" customWidth="1"/>
    <col min="19" max="19" width="11.85546875" bestFit="1" customWidth="1"/>
    <col min="21" max="22" width="14.140625" style="111" bestFit="1" customWidth="1"/>
    <col min="23" max="23" width="12.42578125" style="111" bestFit="1" customWidth="1"/>
    <col min="24" max="24" width="13.85546875" customWidth="1"/>
    <col min="25" max="25" width="12.7109375" customWidth="1"/>
  </cols>
  <sheetData>
    <row r="1" spans="1:25" ht="21" x14ac:dyDescent="0.35">
      <c r="L1" s="347" t="s">
        <v>812</v>
      </c>
      <c r="M1" s="347"/>
      <c r="N1" s="347"/>
      <c r="Q1" s="2" t="s">
        <v>800</v>
      </c>
      <c r="R1" s="195">
        <v>300000</v>
      </c>
    </row>
    <row r="2" spans="1:25" s="2" customFormat="1" ht="21.75" customHeight="1" x14ac:dyDescent="0.35">
      <c r="B2" s="350" t="s">
        <v>716</v>
      </c>
      <c r="C2" s="350" t="s">
        <v>256</v>
      </c>
      <c r="D2" s="352" t="s">
        <v>717</v>
      </c>
      <c r="E2" s="348" t="s">
        <v>218</v>
      </c>
      <c r="F2" s="348" t="s">
        <v>219</v>
      </c>
      <c r="G2" s="348" t="s">
        <v>220</v>
      </c>
      <c r="H2" s="358" t="s">
        <v>791</v>
      </c>
      <c r="I2" s="348" t="s">
        <v>221</v>
      </c>
      <c r="J2" s="360" t="s">
        <v>792</v>
      </c>
      <c r="K2" s="362" t="s">
        <v>813</v>
      </c>
      <c r="L2" s="15" t="s">
        <v>793</v>
      </c>
      <c r="M2" s="27" t="s">
        <v>794</v>
      </c>
      <c r="N2" s="187" t="s">
        <v>795</v>
      </c>
      <c r="O2" s="356" t="s">
        <v>808</v>
      </c>
      <c r="P2" s="354" t="s">
        <v>803</v>
      </c>
      <c r="Q2" s="2" t="s">
        <v>801</v>
      </c>
      <c r="R2" s="195">
        <v>330000</v>
      </c>
      <c r="U2" s="95"/>
      <c r="V2" s="95"/>
      <c r="W2" s="95"/>
    </row>
    <row r="3" spans="1:25" s="2" customFormat="1" ht="21.75" customHeight="1" x14ac:dyDescent="0.35">
      <c r="A3" s="2" t="s">
        <v>798</v>
      </c>
      <c r="B3" s="351"/>
      <c r="C3" s="351"/>
      <c r="D3" s="353"/>
      <c r="E3" s="349"/>
      <c r="F3" s="349"/>
      <c r="G3" s="349"/>
      <c r="H3" s="359"/>
      <c r="I3" s="349"/>
      <c r="J3" s="361"/>
      <c r="K3" s="363"/>
      <c r="L3" s="190">
        <v>3000</v>
      </c>
      <c r="M3" s="188" t="s">
        <v>796</v>
      </c>
      <c r="N3" s="191" t="s">
        <v>797</v>
      </c>
      <c r="O3" s="357"/>
      <c r="P3" s="355"/>
      <c r="Q3" s="2" t="s">
        <v>802</v>
      </c>
      <c r="R3" s="195">
        <v>360000</v>
      </c>
      <c r="U3" s="95"/>
      <c r="V3" s="95"/>
      <c r="W3" s="95"/>
    </row>
    <row r="4" spans="1:25" s="192" customFormat="1" ht="21.75" customHeight="1" x14ac:dyDescent="0.35">
      <c r="A4" s="192">
        <v>1</v>
      </c>
      <c r="B4" s="193">
        <v>2</v>
      </c>
      <c r="C4" s="192">
        <v>3</v>
      </c>
      <c r="D4" s="193">
        <v>4</v>
      </c>
      <c r="E4" s="192">
        <v>5</v>
      </c>
      <c r="F4" s="193">
        <v>6</v>
      </c>
      <c r="G4" s="192">
        <v>7</v>
      </c>
      <c r="H4" s="193">
        <v>8</v>
      </c>
      <c r="I4" s="192">
        <v>9</v>
      </c>
      <c r="J4" s="193">
        <v>10</v>
      </c>
      <c r="K4" s="192">
        <v>11</v>
      </c>
      <c r="L4" s="193">
        <v>12</v>
      </c>
      <c r="M4" s="192">
        <v>13</v>
      </c>
      <c r="N4" s="193">
        <v>14</v>
      </c>
      <c r="O4" s="192">
        <v>15</v>
      </c>
      <c r="P4" s="255">
        <v>16</v>
      </c>
      <c r="Q4" s="192" t="s">
        <v>804</v>
      </c>
      <c r="T4" s="192">
        <v>4</v>
      </c>
      <c r="U4" s="64">
        <v>3</v>
      </c>
      <c r="V4" s="64">
        <v>2</v>
      </c>
      <c r="W4" s="64">
        <v>1</v>
      </c>
    </row>
    <row r="5" spans="1:25" s="2" customFormat="1" ht="21.75" customHeight="1" x14ac:dyDescent="0.35">
      <c r="A5" s="2">
        <v>10660</v>
      </c>
      <c r="B5" s="57" t="s">
        <v>260</v>
      </c>
      <c r="C5" s="57" t="s">
        <v>261</v>
      </c>
      <c r="D5" s="176">
        <v>5010</v>
      </c>
      <c r="E5" s="184">
        <v>2155</v>
      </c>
      <c r="F5" s="184">
        <v>997</v>
      </c>
      <c r="G5" s="184">
        <v>69</v>
      </c>
      <c r="H5" s="185">
        <v>142</v>
      </c>
      <c r="I5" s="184">
        <v>5</v>
      </c>
      <c r="J5" s="186">
        <f t="shared" ref="J5" si="0">SUM(D5:I5)</f>
        <v>8378</v>
      </c>
      <c r="K5" s="247" t="str">
        <f>VLOOKUP(J5,$N$212:$O$215,2)</f>
        <v>L</v>
      </c>
      <c r="L5" s="174"/>
      <c r="M5" s="174">
        <v>1</v>
      </c>
      <c r="N5" s="174"/>
      <c r="O5" s="248">
        <f>VLOOKUP(J5,$N$217:$O$220,2)</f>
        <v>360000</v>
      </c>
      <c r="P5" s="195">
        <v>100000</v>
      </c>
      <c r="Q5" s="196">
        <f>+P5*100/O5</f>
        <v>27.777777777777779</v>
      </c>
      <c r="W5" s="195">
        <v>100000</v>
      </c>
      <c r="X5" s="2">
        <f t="shared" ref="X5:X49" si="1">SUBTOTAL(9,U5:W5)</f>
        <v>100000</v>
      </c>
      <c r="Y5" s="196">
        <f t="shared" ref="Y5:Y49" si="2">+P5-X5</f>
        <v>0</v>
      </c>
    </row>
    <row r="6" spans="1:25" s="2" customFormat="1" ht="21.75" customHeight="1" x14ac:dyDescent="0.35">
      <c r="A6" s="2">
        <v>10660</v>
      </c>
      <c r="B6" s="57" t="s">
        <v>262</v>
      </c>
      <c r="C6" s="57" t="s">
        <v>263</v>
      </c>
      <c r="D6" s="176">
        <v>4399</v>
      </c>
      <c r="E6" s="185">
        <v>1922</v>
      </c>
      <c r="F6" s="185">
        <v>756</v>
      </c>
      <c r="G6" s="185">
        <v>70</v>
      </c>
      <c r="H6" s="185">
        <v>52</v>
      </c>
      <c r="I6" s="185">
        <v>1</v>
      </c>
      <c r="J6" s="186">
        <f t="shared" ref="J6:J69" si="3">SUM(D6:I6)</f>
        <v>7200</v>
      </c>
      <c r="K6" s="247" t="str">
        <f t="shared" ref="K6:K69" si="4">VLOOKUP(J6,$N$212:$O$215,2)</f>
        <v>M</v>
      </c>
      <c r="L6" s="174"/>
      <c r="M6" s="174"/>
      <c r="N6" s="174">
        <v>1</v>
      </c>
      <c r="O6" s="248">
        <f t="shared" ref="O6:O69" si="5">VLOOKUP(J6,$N$217:$O$220,2)</f>
        <v>330000</v>
      </c>
      <c r="P6" s="195">
        <v>300000</v>
      </c>
      <c r="Q6" s="196">
        <f t="shared" ref="Q6:Q37" si="6">+P6*100/O6</f>
        <v>90.909090909090907</v>
      </c>
      <c r="W6" s="195">
        <v>300000</v>
      </c>
      <c r="X6" s="2">
        <f t="shared" si="1"/>
        <v>300000</v>
      </c>
      <c r="Y6" s="196">
        <f t="shared" si="2"/>
        <v>0</v>
      </c>
    </row>
    <row r="7" spans="1:25" s="2" customFormat="1" ht="21.75" customHeight="1" x14ac:dyDescent="0.35">
      <c r="A7" s="2">
        <v>10660</v>
      </c>
      <c r="B7" s="55" t="s">
        <v>264</v>
      </c>
      <c r="C7" s="55" t="s">
        <v>265</v>
      </c>
      <c r="D7" s="175">
        <v>3769</v>
      </c>
      <c r="E7" s="185">
        <v>1484</v>
      </c>
      <c r="F7" s="185">
        <v>540</v>
      </c>
      <c r="G7" s="185">
        <v>58</v>
      </c>
      <c r="H7" s="185">
        <v>75</v>
      </c>
      <c r="I7" s="185">
        <v>1</v>
      </c>
      <c r="J7" s="186">
        <f t="shared" si="3"/>
        <v>5927</v>
      </c>
      <c r="K7" s="247" t="str">
        <f t="shared" si="4"/>
        <v>M</v>
      </c>
      <c r="L7" s="174"/>
      <c r="M7" s="174">
        <v>1</v>
      </c>
      <c r="N7" s="174"/>
      <c r="O7" s="248">
        <f t="shared" si="5"/>
        <v>330000</v>
      </c>
      <c r="P7" s="195">
        <v>300000</v>
      </c>
      <c r="Q7" s="196">
        <f t="shared" si="6"/>
        <v>90.909090909090907</v>
      </c>
      <c r="W7" s="195">
        <v>300000</v>
      </c>
      <c r="X7" s="2">
        <f t="shared" si="1"/>
        <v>300000</v>
      </c>
      <c r="Y7" s="196">
        <f t="shared" si="2"/>
        <v>0</v>
      </c>
    </row>
    <row r="8" spans="1:25" s="2" customFormat="1" ht="21.75" customHeight="1" x14ac:dyDescent="0.35">
      <c r="A8" s="2">
        <v>10660</v>
      </c>
      <c r="B8" s="57" t="s">
        <v>266</v>
      </c>
      <c r="C8" s="57" t="s">
        <v>267</v>
      </c>
      <c r="D8" s="176">
        <v>1974</v>
      </c>
      <c r="E8" s="185">
        <v>586</v>
      </c>
      <c r="F8" s="185">
        <v>163</v>
      </c>
      <c r="G8" s="185">
        <v>16</v>
      </c>
      <c r="H8" s="185">
        <v>0</v>
      </c>
      <c r="I8" s="185">
        <v>2</v>
      </c>
      <c r="J8" s="186">
        <f t="shared" si="3"/>
        <v>2741</v>
      </c>
      <c r="K8" s="247" t="str">
        <f t="shared" si="4"/>
        <v>S</v>
      </c>
      <c r="L8" s="174">
        <v>1</v>
      </c>
      <c r="M8" s="174"/>
      <c r="N8" s="174"/>
      <c r="O8" s="248">
        <f t="shared" si="5"/>
        <v>300000</v>
      </c>
      <c r="P8" s="195">
        <v>400000</v>
      </c>
      <c r="Q8" s="196">
        <f t="shared" si="6"/>
        <v>133.33333333333334</v>
      </c>
      <c r="W8" s="195">
        <v>400000</v>
      </c>
      <c r="X8" s="2">
        <f t="shared" si="1"/>
        <v>400000</v>
      </c>
      <c r="Y8" s="196">
        <f t="shared" si="2"/>
        <v>0</v>
      </c>
    </row>
    <row r="9" spans="1:25" s="2" customFormat="1" ht="21.75" customHeight="1" x14ac:dyDescent="0.35">
      <c r="A9" s="2">
        <v>10660</v>
      </c>
      <c r="B9" s="55" t="s">
        <v>268</v>
      </c>
      <c r="C9" s="55" t="s">
        <v>269</v>
      </c>
      <c r="D9" s="175">
        <v>4531</v>
      </c>
      <c r="E9" s="185">
        <v>1732</v>
      </c>
      <c r="F9" s="185">
        <v>386</v>
      </c>
      <c r="G9" s="185">
        <v>71</v>
      </c>
      <c r="H9" s="185">
        <v>89</v>
      </c>
      <c r="I9" s="185">
        <v>2</v>
      </c>
      <c r="J9" s="186">
        <f t="shared" si="3"/>
        <v>6811</v>
      </c>
      <c r="K9" s="247" t="str">
        <f t="shared" si="4"/>
        <v>M</v>
      </c>
      <c r="L9" s="174"/>
      <c r="M9" s="174">
        <v>1</v>
      </c>
      <c r="N9" s="174"/>
      <c r="O9" s="248">
        <f t="shared" si="5"/>
        <v>330000</v>
      </c>
      <c r="P9" s="195">
        <v>300000</v>
      </c>
      <c r="Q9" s="196">
        <f t="shared" si="6"/>
        <v>90.909090909090907</v>
      </c>
      <c r="W9" s="195">
        <v>300000</v>
      </c>
      <c r="X9" s="2">
        <f t="shared" si="1"/>
        <v>300000</v>
      </c>
      <c r="Y9" s="196">
        <f t="shared" si="2"/>
        <v>0</v>
      </c>
    </row>
    <row r="10" spans="1:25" s="2" customFormat="1" ht="21.75" customHeight="1" x14ac:dyDescent="0.35">
      <c r="A10" s="2">
        <v>10660</v>
      </c>
      <c r="B10" s="57" t="s">
        <v>270</v>
      </c>
      <c r="C10" s="57" t="s">
        <v>271</v>
      </c>
      <c r="D10" s="176">
        <v>1731</v>
      </c>
      <c r="E10" s="184">
        <v>624</v>
      </c>
      <c r="F10" s="184">
        <v>183</v>
      </c>
      <c r="G10" s="184">
        <v>7</v>
      </c>
      <c r="H10" s="185">
        <v>0</v>
      </c>
      <c r="I10" s="185">
        <v>0</v>
      </c>
      <c r="J10" s="186">
        <f t="shared" si="3"/>
        <v>2545</v>
      </c>
      <c r="K10" s="247" t="str">
        <f t="shared" si="4"/>
        <v>S</v>
      </c>
      <c r="L10" s="174">
        <v>1</v>
      </c>
      <c r="M10" s="174"/>
      <c r="N10" s="174"/>
      <c r="O10" s="248">
        <f t="shared" si="5"/>
        <v>300000</v>
      </c>
      <c r="P10" s="195">
        <v>300000</v>
      </c>
      <c r="Q10" s="196">
        <f t="shared" si="6"/>
        <v>100</v>
      </c>
      <c r="W10" s="195">
        <v>300000</v>
      </c>
      <c r="X10" s="2">
        <f t="shared" si="1"/>
        <v>300000</v>
      </c>
      <c r="Y10" s="196">
        <f t="shared" si="2"/>
        <v>0</v>
      </c>
    </row>
    <row r="11" spans="1:25" s="2" customFormat="1" ht="21.75" customHeight="1" x14ac:dyDescent="0.35">
      <c r="A11" s="2">
        <v>10660</v>
      </c>
      <c r="B11" s="57" t="s">
        <v>272</v>
      </c>
      <c r="C11" s="57" t="s">
        <v>273</v>
      </c>
      <c r="D11" s="176">
        <v>1279</v>
      </c>
      <c r="E11" s="185">
        <v>375</v>
      </c>
      <c r="F11" s="185">
        <v>102</v>
      </c>
      <c r="G11" s="185">
        <v>17</v>
      </c>
      <c r="H11" s="185">
        <v>11</v>
      </c>
      <c r="I11" s="185">
        <v>1</v>
      </c>
      <c r="J11" s="186">
        <f t="shared" si="3"/>
        <v>1785</v>
      </c>
      <c r="K11" s="247" t="str">
        <f t="shared" si="4"/>
        <v>S</v>
      </c>
      <c r="L11" s="174">
        <v>1</v>
      </c>
      <c r="M11" s="174"/>
      <c r="N11" s="174"/>
      <c r="O11" s="248">
        <f t="shared" si="5"/>
        <v>300000</v>
      </c>
      <c r="P11" s="195">
        <v>350000</v>
      </c>
      <c r="Q11" s="196">
        <f t="shared" si="6"/>
        <v>116.66666666666667</v>
      </c>
      <c r="W11" s="195">
        <v>350000</v>
      </c>
      <c r="X11" s="2">
        <f t="shared" si="1"/>
        <v>350000</v>
      </c>
      <c r="Y11" s="196">
        <f t="shared" si="2"/>
        <v>0</v>
      </c>
    </row>
    <row r="12" spans="1:25" s="2" customFormat="1" ht="21.75" customHeight="1" x14ac:dyDescent="0.35">
      <c r="A12" s="2">
        <v>10660</v>
      </c>
      <c r="B12" s="55" t="s">
        <v>274</v>
      </c>
      <c r="C12" s="55" t="s">
        <v>275</v>
      </c>
      <c r="D12" s="175">
        <v>3359</v>
      </c>
      <c r="E12" s="185">
        <v>1211</v>
      </c>
      <c r="F12" s="185">
        <v>246</v>
      </c>
      <c r="G12" s="185">
        <v>36</v>
      </c>
      <c r="H12" s="185">
        <v>108</v>
      </c>
      <c r="I12" s="185">
        <v>1</v>
      </c>
      <c r="J12" s="186">
        <f t="shared" si="3"/>
        <v>4961</v>
      </c>
      <c r="K12" s="247" t="str">
        <f t="shared" si="4"/>
        <v>M</v>
      </c>
      <c r="L12" s="174"/>
      <c r="M12" s="174">
        <v>1</v>
      </c>
      <c r="N12" s="174"/>
      <c r="O12" s="248">
        <f t="shared" si="5"/>
        <v>330000</v>
      </c>
      <c r="P12" s="195">
        <v>600000</v>
      </c>
      <c r="Q12" s="196">
        <f t="shared" si="6"/>
        <v>181.81818181818181</v>
      </c>
      <c r="W12" s="195">
        <v>600000</v>
      </c>
      <c r="X12" s="2">
        <f t="shared" si="1"/>
        <v>600000</v>
      </c>
      <c r="Y12" s="196">
        <f t="shared" si="2"/>
        <v>0</v>
      </c>
    </row>
    <row r="13" spans="1:25" s="2" customFormat="1" ht="21.75" customHeight="1" x14ac:dyDescent="0.35">
      <c r="A13" s="2">
        <v>10660</v>
      </c>
      <c r="B13" s="57" t="s">
        <v>276</v>
      </c>
      <c r="C13" s="57" t="s">
        <v>277</v>
      </c>
      <c r="D13" s="176">
        <v>2480</v>
      </c>
      <c r="E13" s="185">
        <v>1038</v>
      </c>
      <c r="F13" s="185">
        <v>693</v>
      </c>
      <c r="G13" s="185">
        <v>39</v>
      </c>
      <c r="H13" s="185">
        <v>38</v>
      </c>
      <c r="I13" s="185">
        <v>4</v>
      </c>
      <c r="J13" s="186">
        <f t="shared" si="3"/>
        <v>4292</v>
      </c>
      <c r="K13" s="247" t="str">
        <f t="shared" si="4"/>
        <v>M</v>
      </c>
      <c r="L13" s="174"/>
      <c r="M13" s="174">
        <v>1</v>
      </c>
      <c r="N13" s="174"/>
      <c r="O13" s="248">
        <f t="shared" si="5"/>
        <v>330000</v>
      </c>
      <c r="P13" s="195">
        <v>400000</v>
      </c>
      <c r="Q13" s="196">
        <f t="shared" si="6"/>
        <v>121.21212121212122</v>
      </c>
      <c r="W13" s="195">
        <v>400000</v>
      </c>
      <c r="X13" s="2">
        <f t="shared" si="1"/>
        <v>400000</v>
      </c>
      <c r="Y13" s="196">
        <f t="shared" si="2"/>
        <v>0</v>
      </c>
    </row>
    <row r="14" spans="1:25" s="2" customFormat="1" ht="21.75" customHeight="1" x14ac:dyDescent="0.35">
      <c r="A14" s="2">
        <v>10660</v>
      </c>
      <c r="B14" s="55" t="s">
        <v>278</v>
      </c>
      <c r="C14" s="55" t="s">
        <v>279</v>
      </c>
      <c r="D14" s="175">
        <v>3612</v>
      </c>
      <c r="E14" s="185">
        <v>1734</v>
      </c>
      <c r="F14" s="185">
        <v>831</v>
      </c>
      <c r="G14" s="185">
        <v>88</v>
      </c>
      <c r="H14" s="185">
        <v>105</v>
      </c>
      <c r="I14" s="185">
        <v>3</v>
      </c>
      <c r="J14" s="186">
        <f t="shared" si="3"/>
        <v>6373</v>
      </c>
      <c r="K14" s="247" t="str">
        <f t="shared" si="4"/>
        <v>M</v>
      </c>
      <c r="L14" s="174"/>
      <c r="M14" s="174">
        <v>1</v>
      </c>
      <c r="N14" s="174"/>
      <c r="O14" s="248">
        <f t="shared" si="5"/>
        <v>330000</v>
      </c>
      <c r="P14" s="195">
        <v>300000</v>
      </c>
      <c r="Q14" s="196">
        <f t="shared" si="6"/>
        <v>90.909090909090907</v>
      </c>
      <c r="W14" s="195">
        <v>300000</v>
      </c>
      <c r="X14" s="2">
        <f t="shared" si="1"/>
        <v>300000</v>
      </c>
      <c r="Y14" s="196">
        <f t="shared" si="2"/>
        <v>0</v>
      </c>
    </row>
    <row r="15" spans="1:25" s="2" customFormat="1" ht="21.75" customHeight="1" x14ac:dyDescent="0.35">
      <c r="A15" s="2">
        <v>10660</v>
      </c>
      <c r="B15" s="57" t="s">
        <v>280</v>
      </c>
      <c r="C15" s="57" t="s">
        <v>281</v>
      </c>
      <c r="D15" s="176">
        <v>4043</v>
      </c>
      <c r="E15" s="185">
        <v>1065</v>
      </c>
      <c r="F15" s="185">
        <v>266</v>
      </c>
      <c r="G15" s="185">
        <v>29</v>
      </c>
      <c r="H15" s="185">
        <v>31</v>
      </c>
      <c r="I15" s="185">
        <v>2</v>
      </c>
      <c r="J15" s="186">
        <f t="shared" si="3"/>
        <v>5436</v>
      </c>
      <c r="K15" s="247" t="str">
        <f t="shared" si="4"/>
        <v>M</v>
      </c>
      <c r="L15" s="174"/>
      <c r="M15" s="174">
        <v>1</v>
      </c>
      <c r="N15" s="174"/>
      <c r="O15" s="248">
        <f t="shared" si="5"/>
        <v>330000</v>
      </c>
      <c r="P15" s="195">
        <v>550000</v>
      </c>
      <c r="Q15" s="196">
        <f t="shared" si="6"/>
        <v>166.66666666666666</v>
      </c>
      <c r="W15" s="195">
        <v>550000</v>
      </c>
      <c r="X15" s="2">
        <f t="shared" si="1"/>
        <v>550000</v>
      </c>
      <c r="Y15" s="196">
        <f t="shared" si="2"/>
        <v>0</v>
      </c>
    </row>
    <row r="16" spans="1:25" s="2" customFormat="1" ht="21.75" customHeight="1" x14ac:dyDescent="0.35">
      <c r="A16" s="2">
        <v>10660</v>
      </c>
      <c r="B16" s="55" t="s">
        <v>282</v>
      </c>
      <c r="C16" s="55" t="s">
        <v>283</v>
      </c>
      <c r="D16" s="175">
        <v>3776</v>
      </c>
      <c r="E16" s="185">
        <v>1121</v>
      </c>
      <c r="F16" s="185">
        <v>308</v>
      </c>
      <c r="G16" s="185">
        <v>23</v>
      </c>
      <c r="H16" s="185">
        <v>50</v>
      </c>
      <c r="I16" s="185">
        <v>2</v>
      </c>
      <c r="J16" s="186">
        <f t="shared" si="3"/>
        <v>5280</v>
      </c>
      <c r="K16" s="247" t="str">
        <f t="shared" si="4"/>
        <v>M</v>
      </c>
      <c r="L16" s="174"/>
      <c r="M16" s="174">
        <v>1</v>
      </c>
      <c r="N16" s="174"/>
      <c r="O16" s="248">
        <f t="shared" si="5"/>
        <v>330000</v>
      </c>
      <c r="P16" s="195">
        <v>300000</v>
      </c>
      <c r="Q16" s="196">
        <f t="shared" si="6"/>
        <v>90.909090909090907</v>
      </c>
      <c r="W16" s="195">
        <v>300000</v>
      </c>
      <c r="X16" s="2">
        <f t="shared" si="1"/>
        <v>300000</v>
      </c>
      <c r="Y16" s="196">
        <f t="shared" si="2"/>
        <v>0</v>
      </c>
    </row>
    <row r="17" spans="1:25" s="2" customFormat="1" ht="21.75" customHeight="1" x14ac:dyDescent="0.35">
      <c r="A17" s="2">
        <v>10660</v>
      </c>
      <c r="B17" s="57" t="s">
        <v>284</v>
      </c>
      <c r="C17" s="57" t="s">
        <v>285</v>
      </c>
      <c r="D17" s="176">
        <v>2854</v>
      </c>
      <c r="E17" s="185">
        <v>1346</v>
      </c>
      <c r="F17" s="185">
        <v>679</v>
      </c>
      <c r="G17" s="185">
        <v>59</v>
      </c>
      <c r="H17" s="185">
        <v>95</v>
      </c>
      <c r="I17" s="185">
        <v>1</v>
      </c>
      <c r="J17" s="186">
        <f t="shared" si="3"/>
        <v>5034</v>
      </c>
      <c r="K17" s="247" t="str">
        <f t="shared" si="4"/>
        <v>M</v>
      </c>
      <c r="L17" s="174"/>
      <c r="M17" s="174">
        <v>1</v>
      </c>
      <c r="N17" s="174"/>
      <c r="O17" s="248">
        <f t="shared" si="5"/>
        <v>330000</v>
      </c>
      <c r="P17" s="195">
        <v>300000</v>
      </c>
      <c r="Q17" s="196">
        <f t="shared" si="6"/>
        <v>90.909090909090907</v>
      </c>
      <c r="W17" s="195">
        <v>300000</v>
      </c>
      <c r="X17" s="2">
        <f t="shared" si="1"/>
        <v>300000</v>
      </c>
      <c r="Y17" s="196">
        <f t="shared" si="2"/>
        <v>0</v>
      </c>
    </row>
    <row r="18" spans="1:25" s="2" customFormat="1" ht="21.75" customHeight="1" x14ac:dyDescent="0.35">
      <c r="A18" s="2">
        <v>10660</v>
      </c>
      <c r="B18" s="55" t="s">
        <v>286</v>
      </c>
      <c r="C18" s="55" t="s">
        <v>287</v>
      </c>
      <c r="D18" s="175">
        <v>3730</v>
      </c>
      <c r="E18" s="185">
        <v>1560</v>
      </c>
      <c r="F18" s="185">
        <v>926</v>
      </c>
      <c r="G18" s="185">
        <v>105</v>
      </c>
      <c r="H18" s="185">
        <v>91</v>
      </c>
      <c r="I18" s="185">
        <v>7</v>
      </c>
      <c r="J18" s="186">
        <f t="shared" si="3"/>
        <v>6419</v>
      </c>
      <c r="K18" s="247" t="str">
        <f t="shared" si="4"/>
        <v>M</v>
      </c>
      <c r="L18" s="174"/>
      <c r="M18" s="174">
        <v>1</v>
      </c>
      <c r="N18" s="174"/>
      <c r="O18" s="248">
        <f t="shared" si="5"/>
        <v>330000</v>
      </c>
      <c r="P18" s="195">
        <v>300000</v>
      </c>
      <c r="Q18" s="196">
        <f t="shared" si="6"/>
        <v>90.909090909090907</v>
      </c>
      <c r="W18" s="195">
        <v>300000</v>
      </c>
      <c r="X18" s="2">
        <f t="shared" si="1"/>
        <v>300000</v>
      </c>
      <c r="Y18" s="196">
        <f t="shared" si="2"/>
        <v>0</v>
      </c>
    </row>
    <row r="19" spans="1:25" s="2" customFormat="1" ht="21.75" customHeight="1" x14ac:dyDescent="0.35">
      <c r="A19" s="2">
        <v>10660</v>
      </c>
      <c r="B19" s="57" t="s">
        <v>288</v>
      </c>
      <c r="C19" s="57" t="s">
        <v>289</v>
      </c>
      <c r="D19" s="176">
        <v>2633</v>
      </c>
      <c r="E19" s="185">
        <v>971</v>
      </c>
      <c r="F19" s="185">
        <v>392</v>
      </c>
      <c r="G19" s="185">
        <v>63</v>
      </c>
      <c r="H19" s="185">
        <v>56</v>
      </c>
      <c r="I19" s="185">
        <v>2</v>
      </c>
      <c r="J19" s="186">
        <f t="shared" si="3"/>
        <v>4117</v>
      </c>
      <c r="K19" s="247" t="str">
        <f t="shared" si="4"/>
        <v>M</v>
      </c>
      <c r="L19" s="174"/>
      <c r="M19" s="174">
        <v>1</v>
      </c>
      <c r="N19" s="174"/>
      <c r="O19" s="248">
        <f t="shared" si="5"/>
        <v>330000</v>
      </c>
      <c r="P19" s="195">
        <v>500000</v>
      </c>
      <c r="Q19" s="196">
        <f t="shared" si="6"/>
        <v>151.5151515151515</v>
      </c>
      <c r="W19" s="195">
        <v>500000</v>
      </c>
      <c r="X19" s="2">
        <f t="shared" si="1"/>
        <v>500000</v>
      </c>
      <c r="Y19" s="196">
        <f t="shared" si="2"/>
        <v>0</v>
      </c>
    </row>
    <row r="20" spans="1:25" s="2" customFormat="1" ht="21.75" customHeight="1" x14ac:dyDescent="0.35">
      <c r="A20" s="2">
        <v>10660</v>
      </c>
      <c r="B20" s="55" t="s">
        <v>290</v>
      </c>
      <c r="C20" s="55" t="s">
        <v>291</v>
      </c>
      <c r="D20" s="175">
        <v>1424</v>
      </c>
      <c r="E20" s="185">
        <v>809</v>
      </c>
      <c r="F20" s="185">
        <v>225</v>
      </c>
      <c r="G20" s="185">
        <v>22</v>
      </c>
      <c r="H20" s="185">
        <v>33</v>
      </c>
      <c r="I20" s="185">
        <v>1</v>
      </c>
      <c r="J20" s="186">
        <f t="shared" si="3"/>
        <v>2514</v>
      </c>
      <c r="K20" s="247" t="str">
        <f t="shared" si="4"/>
        <v>S</v>
      </c>
      <c r="L20" s="174">
        <v>1</v>
      </c>
      <c r="M20" s="174"/>
      <c r="N20" s="174"/>
      <c r="O20" s="248">
        <f t="shared" si="5"/>
        <v>300000</v>
      </c>
      <c r="P20" s="195">
        <v>10000</v>
      </c>
      <c r="Q20" s="196">
        <f t="shared" si="6"/>
        <v>3.3333333333333335</v>
      </c>
      <c r="W20" s="195">
        <v>10000</v>
      </c>
      <c r="X20" s="2">
        <f t="shared" si="1"/>
        <v>10000</v>
      </c>
      <c r="Y20" s="196">
        <f t="shared" si="2"/>
        <v>0</v>
      </c>
    </row>
    <row r="21" spans="1:25" s="2" customFormat="1" ht="21.75" customHeight="1" x14ac:dyDescent="0.35">
      <c r="A21" s="2">
        <v>10660</v>
      </c>
      <c r="B21" s="57" t="s">
        <v>292</v>
      </c>
      <c r="C21" s="57" t="s">
        <v>293</v>
      </c>
      <c r="D21" s="176">
        <v>4058</v>
      </c>
      <c r="E21" s="185">
        <v>1728</v>
      </c>
      <c r="F21" s="185">
        <v>774</v>
      </c>
      <c r="G21" s="185">
        <v>78</v>
      </c>
      <c r="H21" s="185">
        <v>92</v>
      </c>
      <c r="I21" s="185">
        <v>2</v>
      </c>
      <c r="J21" s="186">
        <f t="shared" si="3"/>
        <v>6732</v>
      </c>
      <c r="K21" s="247" t="str">
        <f t="shared" si="4"/>
        <v>M</v>
      </c>
      <c r="L21" s="174"/>
      <c r="M21" s="174">
        <v>1</v>
      </c>
      <c r="N21" s="174"/>
      <c r="O21" s="248">
        <f t="shared" si="5"/>
        <v>330000</v>
      </c>
      <c r="P21" s="195">
        <v>300000</v>
      </c>
      <c r="Q21" s="196">
        <f t="shared" si="6"/>
        <v>90.909090909090907</v>
      </c>
      <c r="W21" s="195">
        <v>300000</v>
      </c>
      <c r="X21" s="2">
        <f t="shared" si="1"/>
        <v>300000</v>
      </c>
      <c r="Y21" s="196">
        <f t="shared" si="2"/>
        <v>0</v>
      </c>
    </row>
    <row r="22" spans="1:25" s="2" customFormat="1" ht="21.75" customHeight="1" x14ac:dyDescent="0.35">
      <c r="A22" s="2">
        <v>10660</v>
      </c>
      <c r="B22" s="55" t="s">
        <v>294</v>
      </c>
      <c r="C22" s="55" t="s">
        <v>295</v>
      </c>
      <c r="D22" s="175">
        <v>839</v>
      </c>
      <c r="E22" s="185">
        <v>415</v>
      </c>
      <c r="F22" s="185">
        <v>100</v>
      </c>
      <c r="G22" s="185">
        <v>10</v>
      </c>
      <c r="H22" s="185">
        <v>17</v>
      </c>
      <c r="I22" s="185">
        <v>1</v>
      </c>
      <c r="J22" s="186">
        <f t="shared" si="3"/>
        <v>1382</v>
      </c>
      <c r="K22" s="247" t="str">
        <f t="shared" si="4"/>
        <v>S</v>
      </c>
      <c r="L22" s="174">
        <v>1</v>
      </c>
      <c r="M22" s="174"/>
      <c r="N22" s="174"/>
      <c r="O22" s="248">
        <f t="shared" si="5"/>
        <v>300000</v>
      </c>
      <c r="P22" s="195">
        <v>300000</v>
      </c>
      <c r="Q22" s="196">
        <f t="shared" si="6"/>
        <v>100</v>
      </c>
      <c r="W22" s="195">
        <v>300000</v>
      </c>
      <c r="X22" s="2">
        <f t="shared" si="1"/>
        <v>300000</v>
      </c>
      <c r="Y22" s="196">
        <f t="shared" si="2"/>
        <v>0</v>
      </c>
    </row>
    <row r="23" spans="1:25" s="2" customFormat="1" ht="21.75" customHeight="1" x14ac:dyDescent="0.35">
      <c r="A23" s="2">
        <v>10688</v>
      </c>
      <c r="B23" s="171" t="s">
        <v>392</v>
      </c>
      <c r="C23" s="171" t="s">
        <v>393</v>
      </c>
      <c r="D23" s="180">
        <v>1885</v>
      </c>
      <c r="E23" s="185">
        <v>828</v>
      </c>
      <c r="F23" s="185">
        <v>225</v>
      </c>
      <c r="G23" s="185">
        <v>43</v>
      </c>
      <c r="H23" s="185">
        <v>25</v>
      </c>
      <c r="I23" s="185">
        <v>4</v>
      </c>
      <c r="J23" s="186">
        <f t="shared" si="3"/>
        <v>3010</v>
      </c>
      <c r="K23" s="247" t="str">
        <f t="shared" si="4"/>
        <v>M</v>
      </c>
      <c r="L23" s="174"/>
      <c r="M23" s="174">
        <v>1</v>
      </c>
      <c r="N23" s="174"/>
      <c r="O23" s="248">
        <f t="shared" si="5"/>
        <v>330000</v>
      </c>
      <c r="P23" s="195">
        <v>277786</v>
      </c>
      <c r="Q23" s="196">
        <f t="shared" si="6"/>
        <v>84.177575757575752</v>
      </c>
      <c r="W23" s="195">
        <v>277786</v>
      </c>
      <c r="X23" s="2">
        <f t="shared" si="1"/>
        <v>277786</v>
      </c>
      <c r="Y23" s="196">
        <f t="shared" si="2"/>
        <v>0</v>
      </c>
    </row>
    <row r="24" spans="1:25" s="2" customFormat="1" ht="21.75" customHeight="1" x14ac:dyDescent="0.35">
      <c r="A24" s="2">
        <v>10688</v>
      </c>
      <c r="B24" s="170" t="s">
        <v>394</v>
      </c>
      <c r="C24" s="170" t="s">
        <v>395</v>
      </c>
      <c r="D24" s="179">
        <v>2624</v>
      </c>
      <c r="E24" s="185">
        <v>1018</v>
      </c>
      <c r="F24" s="185">
        <v>471</v>
      </c>
      <c r="G24" s="185">
        <v>114</v>
      </c>
      <c r="H24" s="185">
        <v>67</v>
      </c>
      <c r="I24" s="185">
        <v>3</v>
      </c>
      <c r="J24" s="186">
        <f t="shared" si="3"/>
        <v>4297</v>
      </c>
      <c r="K24" s="247" t="str">
        <f t="shared" si="4"/>
        <v>M</v>
      </c>
      <c r="L24" s="174">
        <v>1</v>
      </c>
      <c r="M24" s="174"/>
      <c r="N24" s="174"/>
      <c r="O24" s="248">
        <f t="shared" si="5"/>
        <v>330000</v>
      </c>
      <c r="P24" s="195">
        <v>263532</v>
      </c>
      <c r="Q24" s="196">
        <f t="shared" si="6"/>
        <v>79.858181818181819</v>
      </c>
      <c r="W24" s="195">
        <v>263532</v>
      </c>
      <c r="X24" s="2">
        <f t="shared" si="1"/>
        <v>263532</v>
      </c>
      <c r="Y24" s="196">
        <f t="shared" si="2"/>
        <v>0</v>
      </c>
    </row>
    <row r="25" spans="1:25" s="2" customFormat="1" ht="21.75" customHeight="1" x14ac:dyDescent="0.35">
      <c r="A25" s="2">
        <v>10688</v>
      </c>
      <c r="B25" s="171" t="s">
        <v>396</v>
      </c>
      <c r="C25" s="171" t="s">
        <v>397</v>
      </c>
      <c r="D25" s="180">
        <v>4297</v>
      </c>
      <c r="E25" s="185">
        <v>1506</v>
      </c>
      <c r="F25" s="185">
        <v>458</v>
      </c>
      <c r="G25" s="185">
        <v>99</v>
      </c>
      <c r="H25" s="185">
        <v>52</v>
      </c>
      <c r="I25" s="185">
        <v>4</v>
      </c>
      <c r="J25" s="186">
        <f t="shared" si="3"/>
        <v>6416</v>
      </c>
      <c r="K25" s="247" t="str">
        <f t="shared" si="4"/>
        <v>M</v>
      </c>
      <c r="L25" s="174"/>
      <c r="M25" s="174">
        <v>1</v>
      </c>
      <c r="N25" s="174"/>
      <c r="O25" s="248">
        <f t="shared" si="5"/>
        <v>330000</v>
      </c>
      <c r="P25" s="195">
        <v>367132</v>
      </c>
      <c r="Q25" s="196">
        <f t="shared" si="6"/>
        <v>111.25212121212121</v>
      </c>
      <c r="W25" s="195">
        <v>367132</v>
      </c>
      <c r="X25" s="2">
        <f t="shared" si="1"/>
        <v>367132</v>
      </c>
      <c r="Y25" s="196">
        <f t="shared" si="2"/>
        <v>0</v>
      </c>
    </row>
    <row r="26" spans="1:25" s="2" customFormat="1" ht="21.75" customHeight="1" x14ac:dyDescent="0.35">
      <c r="A26" s="2">
        <v>10688</v>
      </c>
      <c r="B26" s="171" t="s">
        <v>400</v>
      </c>
      <c r="C26" s="171" t="s">
        <v>401</v>
      </c>
      <c r="D26" s="180">
        <v>2097</v>
      </c>
      <c r="E26" s="185">
        <v>1145</v>
      </c>
      <c r="F26" s="185">
        <v>319</v>
      </c>
      <c r="G26" s="185">
        <v>82</v>
      </c>
      <c r="H26" s="185">
        <v>55</v>
      </c>
      <c r="I26" s="185">
        <v>2</v>
      </c>
      <c r="J26" s="186">
        <f t="shared" si="3"/>
        <v>3700</v>
      </c>
      <c r="K26" s="247" t="str">
        <f t="shared" si="4"/>
        <v>M</v>
      </c>
      <c r="L26" s="174"/>
      <c r="M26" s="174">
        <v>1</v>
      </c>
      <c r="N26" s="174"/>
      <c r="O26" s="248">
        <f t="shared" si="5"/>
        <v>330000</v>
      </c>
      <c r="P26" s="195">
        <v>433048</v>
      </c>
      <c r="Q26" s="196">
        <f t="shared" si="6"/>
        <v>131.22666666666666</v>
      </c>
      <c r="W26" s="195">
        <v>433048</v>
      </c>
      <c r="X26" s="2">
        <f t="shared" si="1"/>
        <v>433048</v>
      </c>
      <c r="Y26" s="196">
        <f t="shared" si="2"/>
        <v>0</v>
      </c>
    </row>
    <row r="27" spans="1:25" s="2" customFormat="1" ht="21.75" customHeight="1" x14ac:dyDescent="0.35">
      <c r="A27" s="2">
        <v>10688</v>
      </c>
      <c r="B27" s="170" t="s">
        <v>402</v>
      </c>
      <c r="C27" s="170" t="s">
        <v>403</v>
      </c>
      <c r="D27" s="179">
        <v>1970</v>
      </c>
      <c r="E27" s="185">
        <v>547</v>
      </c>
      <c r="F27" s="185">
        <v>117</v>
      </c>
      <c r="G27" s="185">
        <v>16</v>
      </c>
      <c r="H27" s="185">
        <v>16</v>
      </c>
      <c r="I27" s="185">
        <v>1</v>
      </c>
      <c r="J27" s="186">
        <f t="shared" si="3"/>
        <v>2667</v>
      </c>
      <c r="K27" s="247" t="str">
        <f t="shared" si="4"/>
        <v>S</v>
      </c>
      <c r="L27" s="174">
        <v>1</v>
      </c>
      <c r="M27" s="174"/>
      <c r="N27" s="174"/>
      <c r="O27" s="248">
        <f t="shared" si="5"/>
        <v>300000</v>
      </c>
      <c r="P27" s="195">
        <v>236940</v>
      </c>
      <c r="Q27" s="196">
        <f t="shared" si="6"/>
        <v>78.98</v>
      </c>
      <c r="W27" s="195">
        <v>236940</v>
      </c>
      <c r="X27" s="2">
        <f t="shared" si="1"/>
        <v>236940</v>
      </c>
      <c r="Y27" s="196">
        <f t="shared" si="2"/>
        <v>0</v>
      </c>
    </row>
    <row r="28" spans="1:25" s="2" customFormat="1" ht="21.75" customHeight="1" x14ac:dyDescent="0.35">
      <c r="A28" s="2">
        <v>10688</v>
      </c>
      <c r="B28" s="171" t="s">
        <v>404</v>
      </c>
      <c r="C28" s="171" t="s">
        <v>405</v>
      </c>
      <c r="D28" s="180">
        <v>2248</v>
      </c>
      <c r="E28" s="185">
        <v>881</v>
      </c>
      <c r="F28" s="185">
        <v>263</v>
      </c>
      <c r="G28" s="185">
        <v>45</v>
      </c>
      <c r="H28" s="185">
        <v>42</v>
      </c>
      <c r="I28" s="185">
        <v>1</v>
      </c>
      <c r="J28" s="186">
        <f t="shared" si="3"/>
        <v>3480</v>
      </c>
      <c r="K28" s="247" t="str">
        <f t="shared" si="4"/>
        <v>M</v>
      </c>
      <c r="L28" s="174"/>
      <c r="M28" s="174">
        <v>1</v>
      </c>
      <c r="N28" s="174"/>
      <c r="O28" s="248">
        <f t="shared" si="5"/>
        <v>330000</v>
      </c>
      <c r="P28" s="195">
        <v>392706</v>
      </c>
      <c r="Q28" s="196">
        <f t="shared" si="6"/>
        <v>119.00181818181818</v>
      </c>
      <c r="W28" s="195">
        <v>392706</v>
      </c>
      <c r="X28" s="2">
        <f t="shared" si="1"/>
        <v>392706</v>
      </c>
      <c r="Y28" s="196">
        <f t="shared" si="2"/>
        <v>0</v>
      </c>
    </row>
    <row r="29" spans="1:25" s="2" customFormat="1" ht="21.75" customHeight="1" x14ac:dyDescent="0.35">
      <c r="A29" s="2">
        <v>10688</v>
      </c>
      <c r="B29" s="170" t="s">
        <v>406</v>
      </c>
      <c r="C29" s="170" t="s">
        <v>407</v>
      </c>
      <c r="D29" s="179">
        <v>1642</v>
      </c>
      <c r="E29" s="185">
        <v>745</v>
      </c>
      <c r="F29" s="185">
        <v>163</v>
      </c>
      <c r="G29" s="185">
        <v>23</v>
      </c>
      <c r="H29" s="185">
        <v>30</v>
      </c>
      <c r="I29" s="185">
        <v>0</v>
      </c>
      <c r="J29" s="186">
        <f t="shared" si="3"/>
        <v>2603</v>
      </c>
      <c r="K29" s="247" t="str">
        <f t="shared" si="4"/>
        <v>S</v>
      </c>
      <c r="L29" s="174">
        <v>1</v>
      </c>
      <c r="M29" s="174"/>
      <c r="N29" s="174"/>
      <c r="O29" s="248">
        <f t="shared" si="5"/>
        <v>300000</v>
      </c>
      <c r="P29" s="195">
        <v>459324</v>
      </c>
      <c r="Q29" s="196">
        <f t="shared" si="6"/>
        <v>153.108</v>
      </c>
      <c r="W29" s="195">
        <v>459324</v>
      </c>
      <c r="X29" s="2">
        <f t="shared" si="1"/>
        <v>459324</v>
      </c>
      <c r="Y29" s="196">
        <f t="shared" si="2"/>
        <v>0</v>
      </c>
    </row>
    <row r="30" spans="1:25" s="2" customFormat="1" ht="21.75" customHeight="1" x14ac:dyDescent="0.35">
      <c r="A30" s="2">
        <v>10688</v>
      </c>
      <c r="B30" s="171" t="s">
        <v>408</v>
      </c>
      <c r="C30" s="171" t="s">
        <v>409</v>
      </c>
      <c r="D30" s="180">
        <v>1163</v>
      </c>
      <c r="E30" s="185">
        <v>567</v>
      </c>
      <c r="F30" s="185">
        <v>174</v>
      </c>
      <c r="G30" s="185">
        <v>16</v>
      </c>
      <c r="H30" s="185">
        <v>30</v>
      </c>
      <c r="I30" s="185">
        <v>0</v>
      </c>
      <c r="J30" s="186">
        <f t="shared" si="3"/>
        <v>1950</v>
      </c>
      <c r="K30" s="247" t="str">
        <f t="shared" si="4"/>
        <v>S</v>
      </c>
      <c r="L30" s="174">
        <v>1</v>
      </c>
      <c r="M30" s="174"/>
      <c r="N30" s="174"/>
      <c r="O30" s="248">
        <f t="shared" si="5"/>
        <v>300000</v>
      </c>
      <c r="P30" s="195">
        <v>237180</v>
      </c>
      <c r="Q30" s="196">
        <f t="shared" si="6"/>
        <v>79.06</v>
      </c>
      <c r="W30" s="195">
        <v>237180</v>
      </c>
      <c r="X30" s="2">
        <f t="shared" si="1"/>
        <v>237180</v>
      </c>
      <c r="Y30" s="196">
        <f t="shared" si="2"/>
        <v>0</v>
      </c>
    </row>
    <row r="31" spans="1:25" s="2" customFormat="1" ht="21.75" customHeight="1" x14ac:dyDescent="0.35">
      <c r="A31" s="2">
        <v>10688</v>
      </c>
      <c r="B31" s="170" t="s">
        <v>410</v>
      </c>
      <c r="C31" s="170" t="s">
        <v>411</v>
      </c>
      <c r="D31" s="179">
        <v>2770</v>
      </c>
      <c r="E31" s="185">
        <v>1002</v>
      </c>
      <c r="F31" s="185">
        <v>198</v>
      </c>
      <c r="G31" s="185">
        <v>46</v>
      </c>
      <c r="H31" s="185">
        <v>30</v>
      </c>
      <c r="I31" s="185">
        <v>1</v>
      </c>
      <c r="J31" s="186">
        <f t="shared" si="3"/>
        <v>4047</v>
      </c>
      <c r="K31" s="247" t="str">
        <f t="shared" si="4"/>
        <v>M</v>
      </c>
      <c r="L31" s="174"/>
      <c r="M31" s="174">
        <v>1</v>
      </c>
      <c r="N31" s="174"/>
      <c r="O31" s="248">
        <f t="shared" si="5"/>
        <v>330000</v>
      </c>
      <c r="P31" s="195">
        <v>371514</v>
      </c>
      <c r="Q31" s="196">
        <f t="shared" si="6"/>
        <v>112.58</v>
      </c>
      <c r="W31" s="195">
        <v>371514</v>
      </c>
      <c r="X31" s="2">
        <f t="shared" si="1"/>
        <v>371514</v>
      </c>
      <c r="Y31" s="196">
        <f t="shared" si="2"/>
        <v>0</v>
      </c>
    </row>
    <row r="32" spans="1:25" s="2" customFormat="1" ht="21.75" customHeight="1" x14ac:dyDescent="0.35">
      <c r="A32" s="2">
        <v>10688</v>
      </c>
      <c r="B32" s="171" t="s">
        <v>412</v>
      </c>
      <c r="C32" s="171" t="s">
        <v>413</v>
      </c>
      <c r="D32" s="180">
        <v>3297</v>
      </c>
      <c r="E32" s="185">
        <v>994</v>
      </c>
      <c r="F32" s="185">
        <v>233</v>
      </c>
      <c r="G32" s="185">
        <v>30</v>
      </c>
      <c r="H32" s="185">
        <v>48</v>
      </c>
      <c r="I32" s="185">
        <v>2</v>
      </c>
      <c r="J32" s="186">
        <f t="shared" si="3"/>
        <v>4604</v>
      </c>
      <c r="K32" s="247" t="str">
        <f t="shared" si="4"/>
        <v>M</v>
      </c>
      <c r="L32" s="174"/>
      <c r="M32" s="174">
        <v>1</v>
      </c>
      <c r="N32" s="174"/>
      <c r="O32" s="248">
        <f t="shared" si="5"/>
        <v>330000</v>
      </c>
      <c r="P32" s="195">
        <v>196180</v>
      </c>
      <c r="Q32" s="196">
        <f t="shared" si="6"/>
        <v>59.448484848484846</v>
      </c>
      <c r="W32" s="195">
        <v>196180</v>
      </c>
      <c r="X32" s="2">
        <f t="shared" si="1"/>
        <v>196180</v>
      </c>
      <c r="Y32" s="196">
        <f t="shared" si="2"/>
        <v>0</v>
      </c>
    </row>
    <row r="33" spans="1:25" s="2" customFormat="1" ht="21.75" customHeight="1" x14ac:dyDescent="0.35">
      <c r="A33" s="2">
        <v>10688</v>
      </c>
      <c r="B33" s="170" t="s">
        <v>414</v>
      </c>
      <c r="C33" s="170" t="s">
        <v>415</v>
      </c>
      <c r="D33" s="179">
        <v>3326</v>
      </c>
      <c r="E33" s="185">
        <v>1187</v>
      </c>
      <c r="F33" s="185">
        <v>208</v>
      </c>
      <c r="G33" s="185">
        <v>39</v>
      </c>
      <c r="H33" s="185">
        <v>28</v>
      </c>
      <c r="I33" s="185">
        <v>1</v>
      </c>
      <c r="J33" s="186">
        <f t="shared" si="3"/>
        <v>4789</v>
      </c>
      <c r="K33" s="247" t="str">
        <f t="shared" si="4"/>
        <v>M</v>
      </c>
      <c r="L33" s="174"/>
      <c r="M33" s="174">
        <v>1</v>
      </c>
      <c r="N33" s="174"/>
      <c r="O33" s="248">
        <f t="shared" si="5"/>
        <v>330000</v>
      </c>
      <c r="P33" s="195">
        <v>415706</v>
      </c>
      <c r="Q33" s="196">
        <f t="shared" si="6"/>
        <v>125.97151515151515</v>
      </c>
      <c r="W33" s="195">
        <v>415706</v>
      </c>
      <c r="X33" s="2">
        <f t="shared" si="1"/>
        <v>415706</v>
      </c>
      <c r="Y33" s="196">
        <f t="shared" si="2"/>
        <v>0</v>
      </c>
    </row>
    <row r="34" spans="1:25" s="2" customFormat="1" ht="21.75" customHeight="1" x14ac:dyDescent="0.35">
      <c r="A34" s="2">
        <v>10688</v>
      </c>
      <c r="B34" s="171" t="s">
        <v>416</v>
      </c>
      <c r="C34" s="171" t="s">
        <v>417</v>
      </c>
      <c r="D34" s="180">
        <v>2068</v>
      </c>
      <c r="E34" s="185">
        <v>963</v>
      </c>
      <c r="F34" s="185">
        <v>157</v>
      </c>
      <c r="G34" s="185">
        <v>19</v>
      </c>
      <c r="H34" s="185">
        <v>18</v>
      </c>
      <c r="I34" s="185">
        <v>4</v>
      </c>
      <c r="J34" s="186">
        <f t="shared" si="3"/>
        <v>3229</v>
      </c>
      <c r="K34" s="247" t="str">
        <f t="shared" si="4"/>
        <v>M</v>
      </c>
      <c r="L34" s="174"/>
      <c r="M34" s="174">
        <v>1</v>
      </c>
      <c r="N34" s="174"/>
      <c r="O34" s="248">
        <f t="shared" si="5"/>
        <v>330000</v>
      </c>
      <c r="P34" s="195">
        <v>365394</v>
      </c>
      <c r="Q34" s="196">
        <f t="shared" si="6"/>
        <v>110.72545454545454</v>
      </c>
      <c r="W34" s="195">
        <v>365394</v>
      </c>
      <c r="X34" s="2">
        <f t="shared" si="1"/>
        <v>365394</v>
      </c>
      <c r="Y34" s="196">
        <f t="shared" si="2"/>
        <v>0</v>
      </c>
    </row>
    <row r="35" spans="1:25" s="2" customFormat="1" ht="21.75" customHeight="1" x14ac:dyDescent="0.35">
      <c r="A35" s="2">
        <v>10688</v>
      </c>
      <c r="B35" s="170" t="s">
        <v>418</v>
      </c>
      <c r="C35" s="170" t="s">
        <v>419</v>
      </c>
      <c r="D35" s="179">
        <v>1764</v>
      </c>
      <c r="E35" s="185">
        <v>623</v>
      </c>
      <c r="F35" s="185">
        <v>109</v>
      </c>
      <c r="G35" s="185">
        <v>34</v>
      </c>
      <c r="H35" s="185">
        <v>13</v>
      </c>
      <c r="I35" s="185">
        <v>0</v>
      </c>
      <c r="J35" s="186">
        <f t="shared" si="3"/>
        <v>2543</v>
      </c>
      <c r="K35" s="247" t="str">
        <f t="shared" si="4"/>
        <v>S</v>
      </c>
      <c r="L35" s="174">
        <v>1</v>
      </c>
      <c r="M35" s="174"/>
      <c r="N35" s="174"/>
      <c r="O35" s="248">
        <f t="shared" si="5"/>
        <v>300000</v>
      </c>
      <c r="P35" s="195">
        <v>341154</v>
      </c>
      <c r="Q35" s="196">
        <f t="shared" si="6"/>
        <v>113.718</v>
      </c>
      <c r="W35" s="195">
        <v>341154</v>
      </c>
      <c r="X35" s="2">
        <f t="shared" si="1"/>
        <v>341154</v>
      </c>
      <c r="Y35" s="196">
        <f t="shared" si="2"/>
        <v>0</v>
      </c>
    </row>
    <row r="36" spans="1:25" s="2" customFormat="1" ht="21.75" customHeight="1" x14ac:dyDescent="0.35">
      <c r="A36" s="2">
        <v>10688</v>
      </c>
      <c r="B36" s="171" t="s">
        <v>420</v>
      </c>
      <c r="C36" s="171" t="s">
        <v>421</v>
      </c>
      <c r="D36" s="180">
        <v>1756</v>
      </c>
      <c r="E36" s="185">
        <v>745</v>
      </c>
      <c r="F36" s="185">
        <v>111</v>
      </c>
      <c r="G36" s="185">
        <v>23</v>
      </c>
      <c r="H36" s="185">
        <v>17</v>
      </c>
      <c r="I36" s="185">
        <v>2</v>
      </c>
      <c r="J36" s="186">
        <f t="shared" si="3"/>
        <v>2654</v>
      </c>
      <c r="K36" s="247" t="str">
        <f t="shared" si="4"/>
        <v>S</v>
      </c>
      <c r="L36" s="174">
        <v>1</v>
      </c>
      <c r="M36" s="174"/>
      <c r="N36" s="174"/>
      <c r="O36" s="248">
        <f t="shared" si="5"/>
        <v>300000</v>
      </c>
      <c r="P36" s="195">
        <v>246444</v>
      </c>
      <c r="Q36" s="196">
        <f t="shared" si="6"/>
        <v>82.147999999999996</v>
      </c>
      <c r="W36" s="195">
        <v>246444</v>
      </c>
      <c r="X36" s="2">
        <f t="shared" si="1"/>
        <v>246444</v>
      </c>
      <c r="Y36" s="196">
        <f t="shared" si="2"/>
        <v>0</v>
      </c>
    </row>
    <row r="37" spans="1:25" s="2" customFormat="1" ht="21.75" customHeight="1" x14ac:dyDescent="0.35">
      <c r="A37" s="2">
        <v>10688</v>
      </c>
      <c r="B37" s="170" t="s">
        <v>422</v>
      </c>
      <c r="C37" s="170" t="s">
        <v>423</v>
      </c>
      <c r="D37" s="179">
        <v>1634</v>
      </c>
      <c r="E37" s="185">
        <v>759</v>
      </c>
      <c r="F37" s="185">
        <v>175</v>
      </c>
      <c r="G37" s="185">
        <v>73</v>
      </c>
      <c r="H37" s="185">
        <v>52</v>
      </c>
      <c r="I37" s="185">
        <v>0</v>
      </c>
      <c r="J37" s="186">
        <f t="shared" si="3"/>
        <v>2693</v>
      </c>
      <c r="K37" s="247" t="str">
        <f t="shared" si="4"/>
        <v>S</v>
      </c>
      <c r="L37" s="174">
        <v>1</v>
      </c>
      <c r="M37" s="174"/>
      <c r="N37" s="174"/>
      <c r="O37" s="248">
        <f t="shared" si="5"/>
        <v>300000</v>
      </c>
      <c r="P37" s="195">
        <v>165960</v>
      </c>
      <c r="Q37" s="196">
        <f t="shared" si="6"/>
        <v>55.32</v>
      </c>
      <c r="W37" s="195">
        <v>165960</v>
      </c>
      <c r="X37" s="2">
        <f t="shared" si="1"/>
        <v>165960</v>
      </c>
      <c r="Y37" s="196">
        <f t="shared" si="2"/>
        <v>0</v>
      </c>
    </row>
    <row r="38" spans="1:25" s="2" customFormat="1" ht="21.75" customHeight="1" x14ac:dyDescent="0.35">
      <c r="A38" s="2">
        <v>10768</v>
      </c>
      <c r="B38" s="43" t="s">
        <v>434</v>
      </c>
      <c r="C38" s="43" t="s">
        <v>435</v>
      </c>
      <c r="D38" s="178">
        <v>1703</v>
      </c>
      <c r="E38" s="185">
        <v>814</v>
      </c>
      <c r="F38" s="185">
        <v>147</v>
      </c>
      <c r="G38" s="185">
        <v>19</v>
      </c>
      <c r="H38" s="185">
        <v>28</v>
      </c>
      <c r="I38" s="185">
        <v>2</v>
      </c>
      <c r="J38" s="186">
        <f t="shared" si="3"/>
        <v>2713</v>
      </c>
      <c r="K38" s="234" t="str">
        <f t="shared" si="4"/>
        <v>S</v>
      </c>
      <c r="L38" s="174"/>
      <c r="M38" s="174">
        <v>1</v>
      </c>
      <c r="N38" s="174"/>
      <c r="O38" s="242">
        <f t="shared" si="5"/>
        <v>300000</v>
      </c>
      <c r="P38" s="195">
        <f>150000+130000</f>
        <v>280000</v>
      </c>
      <c r="Q38" s="196">
        <f>+P38*100/O38</f>
        <v>93.333333333333329</v>
      </c>
      <c r="V38" s="195">
        <v>130000</v>
      </c>
      <c r="W38" s="195">
        <v>150000</v>
      </c>
      <c r="X38" s="2">
        <f t="shared" si="1"/>
        <v>280000</v>
      </c>
      <c r="Y38" s="196">
        <f t="shared" si="2"/>
        <v>0</v>
      </c>
    </row>
    <row r="39" spans="1:25" s="2" customFormat="1" ht="21.75" customHeight="1" x14ac:dyDescent="0.35">
      <c r="A39" s="2">
        <v>10768</v>
      </c>
      <c r="B39" s="169" t="s">
        <v>436</v>
      </c>
      <c r="C39" s="169" t="s">
        <v>437</v>
      </c>
      <c r="D39" s="177">
        <v>1933</v>
      </c>
      <c r="E39" s="185">
        <v>969</v>
      </c>
      <c r="F39" s="185">
        <v>231</v>
      </c>
      <c r="G39" s="185">
        <v>29</v>
      </c>
      <c r="H39" s="185">
        <v>45</v>
      </c>
      <c r="I39" s="185">
        <v>1</v>
      </c>
      <c r="J39" s="186">
        <f t="shared" si="3"/>
        <v>3208</v>
      </c>
      <c r="K39" s="234" t="str">
        <f t="shared" si="4"/>
        <v>M</v>
      </c>
      <c r="L39" s="174"/>
      <c r="M39" s="174">
        <v>1</v>
      </c>
      <c r="N39" s="174"/>
      <c r="O39" s="242">
        <f t="shared" si="5"/>
        <v>330000</v>
      </c>
      <c r="P39" s="195">
        <f>150000+110000</f>
        <v>260000</v>
      </c>
      <c r="Q39" s="196">
        <f t="shared" ref="Q39:Q84" si="7">+P39*100/O39</f>
        <v>78.787878787878782</v>
      </c>
      <c r="V39" s="195">
        <v>110000</v>
      </c>
      <c r="W39" s="195">
        <v>150000</v>
      </c>
      <c r="X39" s="2">
        <f t="shared" si="1"/>
        <v>260000</v>
      </c>
      <c r="Y39" s="196">
        <f t="shared" si="2"/>
        <v>0</v>
      </c>
    </row>
    <row r="40" spans="1:25" s="2" customFormat="1" ht="21.75" customHeight="1" x14ac:dyDescent="0.35">
      <c r="A40" s="2">
        <v>10768</v>
      </c>
      <c r="B40" s="43" t="s">
        <v>438</v>
      </c>
      <c r="C40" s="43" t="s">
        <v>439</v>
      </c>
      <c r="D40" s="178">
        <v>871</v>
      </c>
      <c r="E40" s="185">
        <v>393</v>
      </c>
      <c r="F40" s="185">
        <v>97</v>
      </c>
      <c r="G40" s="185">
        <v>18</v>
      </c>
      <c r="H40" s="185">
        <v>14</v>
      </c>
      <c r="I40" s="185">
        <v>2</v>
      </c>
      <c r="J40" s="186">
        <f t="shared" si="3"/>
        <v>1395</v>
      </c>
      <c r="K40" s="234" t="str">
        <f t="shared" si="4"/>
        <v>S</v>
      </c>
      <c r="L40" s="174">
        <v>1</v>
      </c>
      <c r="M40" s="174"/>
      <c r="N40" s="174"/>
      <c r="O40" s="242">
        <f t="shared" si="5"/>
        <v>300000</v>
      </c>
      <c r="P40" s="195">
        <f>150000+130000</f>
        <v>280000</v>
      </c>
      <c r="Q40" s="196">
        <f t="shared" si="7"/>
        <v>93.333333333333329</v>
      </c>
      <c r="V40" s="195">
        <v>130000</v>
      </c>
      <c r="W40" s="195">
        <v>150000</v>
      </c>
      <c r="X40" s="2">
        <f t="shared" si="1"/>
        <v>280000</v>
      </c>
      <c r="Y40" s="196">
        <f t="shared" si="2"/>
        <v>0</v>
      </c>
    </row>
    <row r="41" spans="1:25" s="2" customFormat="1" ht="21.75" customHeight="1" x14ac:dyDescent="0.35">
      <c r="A41" s="2">
        <v>10768</v>
      </c>
      <c r="B41" s="43" t="s">
        <v>440</v>
      </c>
      <c r="C41" s="43" t="s">
        <v>441</v>
      </c>
      <c r="D41" s="178">
        <v>1027</v>
      </c>
      <c r="E41" s="185">
        <v>440</v>
      </c>
      <c r="F41" s="185">
        <v>73</v>
      </c>
      <c r="G41" s="185">
        <v>10</v>
      </c>
      <c r="H41" s="185">
        <v>15</v>
      </c>
      <c r="I41" s="185">
        <v>0</v>
      </c>
      <c r="J41" s="186">
        <f t="shared" si="3"/>
        <v>1565</v>
      </c>
      <c r="K41" s="234" t="str">
        <f t="shared" si="4"/>
        <v>S</v>
      </c>
      <c r="L41" s="174">
        <v>1</v>
      </c>
      <c r="M41" s="174"/>
      <c r="N41" s="174"/>
      <c r="O41" s="242">
        <f t="shared" si="5"/>
        <v>300000</v>
      </c>
      <c r="P41" s="195">
        <f>150000+120000</f>
        <v>270000</v>
      </c>
      <c r="Q41" s="196">
        <f t="shared" si="7"/>
        <v>90</v>
      </c>
      <c r="V41" s="195">
        <v>120000</v>
      </c>
      <c r="W41" s="195">
        <v>150000</v>
      </c>
      <c r="X41" s="2">
        <f t="shared" si="1"/>
        <v>270000</v>
      </c>
      <c r="Y41" s="196">
        <f t="shared" si="2"/>
        <v>0</v>
      </c>
    </row>
    <row r="42" spans="1:25" s="2" customFormat="1" ht="21.75" customHeight="1" x14ac:dyDescent="0.35">
      <c r="A42" s="2">
        <v>10768</v>
      </c>
      <c r="B42" s="169" t="s">
        <v>442</v>
      </c>
      <c r="C42" s="169" t="s">
        <v>443</v>
      </c>
      <c r="D42" s="177">
        <v>1332</v>
      </c>
      <c r="E42" s="185">
        <v>687</v>
      </c>
      <c r="F42" s="185">
        <v>120</v>
      </c>
      <c r="G42" s="185">
        <v>16</v>
      </c>
      <c r="H42" s="185">
        <v>23</v>
      </c>
      <c r="I42" s="185">
        <v>2</v>
      </c>
      <c r="J42" s="186">
        <f t="shared" si="3"/>
        <v>2180</v>
      </c>
      <c r="K42" s="234" t="str">
        <f t="shared" si="4"/>
        <v>S</v>
      </c>
      <c r="L42" s="174">
        <v>1</v>
      </c>
      <c r="M42" s="174"/>
      <c r="N42" s="174"/>
      <c r="O42" s="242">
        <f t="shared" si="5"/>
        <v>300000</v>
      </c>
      <c r="P42" s="195">
        <f>150000+120000</f>
        <v>270000</v>
      </c>
      <c r="Q42" s="196">
        <f t="shared" si="7"/>
        <v>90</v>
      </c>
      <c r="V42" s="195">
        <v>120000</v>
      </c>
      <c r="W42" s="195">
        <v>150000</v>
      </c>
      <c r="X42" s="2">
        <f t="shared" si="1"/>
        <v>270000</v>
      </c>
      <c r="Y42" s="196">
        <f t="shared" si="2"/>
        <v>0</v>
      </c>
    </row>
    <row r="43" spans="1:25" s="2" customFormat="1" ht="21.75" customHeight="1" x14ac:dyDescent="0.35">
      <c r="A43" s="2">
        <v>10768</v>
      </c>
      <c r="B43" s="169" t="s">
        <v>444</v>
      </c>
      <c r="C43" s="169" t="s">
        <v>445</v>
      </c>
      <c r="D43" s="177">
        <v>1398</v>
      </c>
      <c r="E43" s="185">
        <v>750</v>
      </c>
      <c r="F43" s="185">
        <v>117</v>
      </c>
      <c r="G43" s="185">
        <v>30</v>
      </c>
      <c r="H43" s="185">
        <v>21</v>
      </c>
      <c r="I43" s="185">
        <v>2</v>
      </c>
      <c r="J43" s="186">
        <f t="shared" si="3"/>
        <v>2318</v>
      </c>
      <c r="K43" s="234" t="str">
        <f t="shared" si="4"/>
        <v>S</v>
      </c>
      <c r="L43" s="174">
        <v>1</v>
      </c>
      <c r="M43" s="174"/>
      <c r="N43" s="174"/>
      <c r="O43" s="242">
        <f t="shared" si="5"/>
        <v>300000</v>
      </c>
      <c r="P43" s="195">
        <f>150000+110000</f>
        <v>260000</v>
      </c>
      <c r="Q43" s="196">
        <f t="shared" si="7"/>
        <v>86.666666666666671</v>
      </c>
      <c r="V43" s="195">
        <v>110000</v>
      </c>
      <c r="W43" s="195">
        <v>150000</v>
      </c>
      <c r="X43" s="2">
        <f t="shared" si="1"/>
        <v>260000</v>
      </c>
      <c r="Y43" s="196">
        <f t="shared" si="2"/>
        <v>0</v>
      </c>
    </row>
    <row r="44" spans="1:25" s="2" customFormat="1" ht="21.75" customHeight="1" x14ac:dyDescent="0.35">
      <c r="A44" s="2">
        <v>10768</v>
      </c>
      <c r="B44" s="43" t="s">
        <v>446</v>
      </c>
      <c r="C44" s="43" t="s">
        <v>447</v>
      </c>
      <c r="D44" s="178">
        <v>1891</v>
      </c>
      <c r="E44" s="185">
        <v>870</v>
      </c>
      <c r="F44" s="185">
        <v>224</v>
      </c>
      <c r="G44" s="185">
        <v>17</v>
      </c>
      <c r="H44" s="185">
        <v>49</v>
      </c>
      <c r="I44" s="185">
        <v>0</v>
      </c>
      <c r="J44" s="186">
        <f t="shared" si="3"/>
        <v>3051</v>
      </c>
      <c r="K44" s="234" t="str">
        <f t="shared" si="4"/>
        <v>M</v>
      </c>
      <c r="L44" s="174"/>
      <c r="M44" s="174">
        <v>1</v>
      </c>
      <c r="N44" s="174"/>
      <c r="O44" s="242">
        <f t="shared" si="5"/>
        <v>330000</v>
      </c>
      <c r="P44" s="195">
        <f>150000+151000</f>
        <v>301000</v>
      </c>
      <c r="Q44" s="196">
        <f t="shared" si="7"/>
        <v>91.212121212121218</v>
      </c>
      <c r="V44" s="195">
        <v>151000</v>
      </c>
      <c r="W44" s="195">
        <v>150000</v>
      </c>
      <c r="X44" s="2">
        <f t="shared" si="1"/>
        <v>301000</v>
      </c>
      <c r="Y44" s="196">
        <f t="shared" si="2"/>
        <v>0</v>
      </c>
    </row>
    <row r="45" spans="1:25" s="2" customFormat="1" ht="21.75" customHeight="1" x14ac:dyDescent="0.35">
      <c r="A45" s="2">
        <v>10768</v>
      </c>
      <c r="B45" s="169" t="s">
        <v>448</v>
      </c>
      <c r="C45" s="169" t="s">
        <v>449</v>
      </c>
      <c r="D45" s="177">
        <v>852</v>
      </c>
      <c r="E45" s="185">
        <v>501</v>
      </c>
      <c r="F45" s="185">
        <v>84</v>
      </c>
      <c r="G45" s="185">
        <v>24</v>
      </c>
      <c r="H45" s="185">
        <v>17</v>
      </c>
      <c r="I45" s="185">
        <v>1</v>
      </c>
      <c r="J45" s="186">
        <f t="shared" si="3"/>
        <v>1479</v>
      </c>
      <c r="K45" s="234" t="str">
        <f t="shared" si="4"/>
        <v>S</v>
      </c>
      <c r="L45" s="174">
        <v>1</v>
      </c>
      <c r="M45" s="174"/>
      <c r="N45" s="174"/>
      <c r="O45" s="242">
        <f t="shared" si="5"/>
        <v>300000</v>
      </c>
      <c r="P45" s="195">
        <f>150000+120000</f>
        <v>270000</v>
      </c>
      <c r="Q45" s="196">
        <f t="shared" si="7"/>
        <v>90</v>
      </c>
      <c r="V45" s="195">
        <v>120000</v>
      </c>
      <c r="W45" s="195">
        <v>150000</v>
      </c>
      <c r="X45" s="2">
        <f t="shared" si="1"/>
        <v>270000</v>
      </c>
      <c r="Y45" s="196">
        <f t="shared" si="2"/>
        <v>0</v>
      </c>
    </row>
    <row r="46" spans="1:25" s="2" customFormat="1" ht="21.75" customHeight="1" x14ac:dyDescent="0.35">
      <c r="A46" s="2">
        <v>10768</v>
      </c>
      <c r="B46" s="169" t="s">
        <v>450</v>
      </c>
      <c r="C46" s="169" t="s">
        <v>824</v>
      </c>
      <c r="D46" s="177">
        <v>1022</v>
      </c>
      <c r="E46" s="185">
        <v>486</v>
      </c>
      <c r="F46" s="185">
        <v>72</v>
      </c>
      <c r="G46" s="185">
        <v>17</v>
      </c>
      <c r="H46" s="185">
        <v>12</v>
      </c>
      <c r="I46" s="185">
        <v>2</v>
      </c>
      <c r="J46" s="186">
        <f t="shared" si="3"/>
        <v>1611</v>
      </c>
      <c r="K46" s="234" t="str">
        <f t="shared" si="4"/>
        <v>S</v>
      </c>
      <c r="L46" s="174">
        <v>1</v>
      </c>
      <c r="M46" s="174"/>
      <c r="N46" s="174"/>
      <c r="O46" s="242">
        <f t="shared" si="5"/>
        <v>300000</v>
      </c>
      <c r="P46" s="195">
        <f>150000+130000</f>
        <v>280000</v>
      </c>
      <c r="Q46" s="196">
        <f t="shared" si="7"/>
        <v>93.333333333333329</v>
      </c>
      <c r="V46" s="195">
        <v>130000</v>
      </c>
      <c r="W46" s="195">
        <v>150000</v>
      </c>
      <c r="X46" s="2">
        <f t="shared" si="1"/>
        <v>280000</v>
      </c>
      <c r="Y46" s="196">
        <f t="shared" si="2"/>
        <v>0</v>
      </c>
    </row>
    <row r="47" spans="1:25" s="2" customFormat="1" ht="21.75" customHeight="1" x14ac:dyDescent="0.35">
      <c r="A47" s="2">
        <v>10768</v>
      </c>
      <c r="B47" s="43" t="s">
        <v>451</v>
      </c>
      <c r="C47" s="43" t="s">
        <v>452</v>
      </c>
      <c r="D47" s="178">
        <v>1603</v>
      </c>
      <c r="E47" s="185">
        <v>882</v>
      </c>
      <c r="F47" s="185">
        <v>207</v>
      </c>
      <c r="G47" s="185">
        <v>28</v>
      </c>
      <c r="H47" s="185">
        <v>28</v>
      </c>
      <c r="I47" s="185">
        <v>0</v>
      </c>
      <c r="J47" s="186">
        <f t="shared" si="3"/>
        <v>2748</v>
      </c>
      <c r="K47" s="234" t="str">
        <f t="shared" si="4"/>
        <v>S</v>
      </c>
      <c r="L47" s="174">
        <v>1</v>
      </c>
      <c r="M47" s="174"/>
      <c r="N47" s="174"/>
      <c r="O47" s="242">
        <f t="shared" si="5"/>
        <v>300000</v>
      </c>
      <c r="P47" s="195">
        <f>150000+151000</f>
        <v>301000</v>
      </c>
      <c r="Q47" s="196">
        <f t="shared" si="7"/>
        <v>100.33333333333333</v>
      </c>
      <c r="V47" s="195">
        <v>151000</v>
      </c>
      <c r="W47" s="195">
        <v>150000</v>
      </c>
      <c r="X47" s="2">
        <f t="shared" si="1"/>
        <v>301000</v>
      </c>
      <c r="Y47" s="196">
        <f t="shared" si="2"/>
        <v>0</v>
      </c>
    </row>
    <row r="48" spans="1:25" s="2" customFormat="1" ht="21.75" customHeight="1" x14ac:dyDescent="0.35">
      <c r="A48" s="2">
        <v>10768</v>
      </c>
      <c r="B48" s="169" t="s">
        <v>453</v>
      </c>
      <c r="C48" s="169" t="s">
        <v>454</v>
      </c>
      <c r="D48" s="177">
        <v>2420</v>
      </c>
      <c r="E48" s="185">
        <v>1356</v>
      </c>
      <c r="F48" s="185">
        <v>349</v>
      </c>
      <c r="G48" s="185">
        <v>37</v>
      </c>
      <c r="H48" s="185">
        <v>56</v>
      </c>
      <c r="I48" s="185">
        <v>2</v>
      </c>
      <c r="J48" s="186">
        <f t="shared" si="3"/>
        <v>4220</v>
      </c>
      <c r="K48" s="234" t="str">
        <f t="shared" si="4"/>
        <v>M</v>
      </c>
      <c r="L48" s="174"/>
      <c r="M48" s="174">
        <v>1</v>
      </c>
      <c r="N48" s="174"/>
      <c r="O48" s="242">
        <f t="shared" si="5"/>
        <v>330000</v>
      </c>
      <c r="P48" s="195">
        <f>150000+110000</f>
        <v>260000</v>
      </c>
      <c r="Q48" s="196">
        <f t="shared" si="7"/>
        <v>78.787878787878782</v>
      </c>
      <c r="V48" s="195">
        <v>110000</v>
      </c>
      <c r="W48" s="195">
        <v>150000</v>
      </c>
      <c r="X48" s="2">
        <f t="shared" si="1"/>
        <v>260000</v>
      </c>
      <c r="Y48" s="196">
        <f t="shared" si="2"/>
        <v>0</v>
      </c>
    </row>
    <row r="49" spans="1:25" s="2" customFormat="1" ht="21.75" customHeight="1" x14ac:dyDescent="0.35">
      <c r="A49" s="2">
        <v>10768</v>
      </c>
      <c r="B49" s="43" t="s">
        <v>455</v>
      </c>
      <c r="C49" s="43" t="s">
        <v>456</v>
      </c>
      <c r="D49" s="178">
        <v>2169</v>
      </c>
      <c r="E49" s="185">
        <v>1043</v>
      </c>
      <c r="F49" s="185">
        <v>270</v>
      </c>
      <c r="G49" s="185">
        <v>50</v>
      </c>
      <c r="H49" s="185">
        <v>47</v>
      </c>
      <c r="I49" s="185">
        <v>3</v>
      </c>
      <c r="J49" s="186">
        <f t="shared" si="3"/>
        <v>3582</v>
      </c>
      <c r="K49" s="234" t="str">
        <f t="shared" si="4"/>
        <v>M</v>
      </c>
      <c r="L49" s="174"/>
      <c r="M49" s="174">
        <v>1</v>
      </c>
      <c r="N49" s="174"/>
      <c r="O49" s="242">
        <f t="shared" si="5"/>
        <v>330000</v>
      </c>
      <c r="P49" s="195">
        <f>150000+110000</f>
        <v>260000</v>
      </c>
      <c r="Q49" s="196">
        <f t="shared" si="7"/>
        <v>78.787878787878782</v>
      </c>
      <c r="V49" s="195">
        <v>110000</v>
      </c>
      <c r="W49" s="195">
        <v>150000</v>
      </c>
      <c r="X49" s="2">
        <f t="shared" si="1"/>
        <v>260000</v>
      </c>
      <c r="Y49" s="196">
        <f t="shared" si="2"/>
        <v>0</v>
      </c>
    </row>
    <row r="50" spans="1:25" s="2" customFormat="1" ht="21.75" customHeight="1" x14ac:dyDescent="0.35">
      <c r="A50" s="2">
        <v>10769</v>
      </c>
      <c r="B50" s="169" t="s">
        <v>463</v>
      </c>
      <c r="C50" s="169" t="s">
        <v>464</v>
      </c>
      <c r="D50" s="177">
        <v>2622</v>
      </c>
      <c r="E50" s="185">
        <v>0</v>
      </c>
      <c r="F50" s="185">
        <v>1</v>
      </c>
      <c r="G50" s="185">
        <v>0</v>
      </c>
      <c r="H50" s="185">
        <v>0</v>
      </c>
      <c r="I50" s="185">
        <v>0</v>
      </c>
      <c r="J50" s="186">
        <f t="shared" si="3"/>
        <v>2623</v>
      </c>
      <c r="K50" s="194" t="str">
        <f t="shared" si="4"/>
        <v>S</v>
      </c>
      <c r="L50" s="174">
        <v>1</v>
      </c>
      <c r="M50" s="174"/>
      <c r="N50" s="174"/>
      <c r="O50" s="195">
        <f t="shared" si="5"/>
        <v>300000</v>
      </c>
      <c r="P50" s="195">
        <f>165000+185000</f>
        <v>350000</v>
      </c>
      <c r="Q50" s="196">
        <f t="shared" si="7"/>
        <v>116.66666666666667</v>
      </c>
      <c r="U50" s="195">
        <v>185000</v>
      </c>
      <c r="V50" s="195"/>
      <c r="W50" s="195">
        <v>165000</v>
      </c>
      <c r="X50" s="2">
        <f>SUBTOTAL(9,U50:W50)</f>
        <v>350000</v>
      </c>
      <c r="Y50" s="196">
        <f>+P50-X50</f>
        <v>0</v>
      </c>
    </row>
    <row r="51" spans="1:25" s="2" customFormat="1" ht="21.75" customHeight="1" x14ac:dyDescent="0.35">
      <c r="A51" s="2">
        <v>10769</v>
      </c>
      <c r="B51" s="43" t="s">
        <v>457</v>
      </c>
      <c r="C51" s="43" t="s">
        <v>458</v>
      </c>
      <c r="D51" s="178">
        <v>2844</v>
      </c>
      <c r="E51" s="185">
        <v>1117</v>
      </c>
      <c r="F51" s="185">
        <v>299</v>
      </c>
      <c r="G51" s="185">
        <v>69</v>
      </c>
      <c r="H51" s="185">
        <v>54</v>
      </c>
      <c r="I51" s="185">
        <v>2</v>
      </c>
      <c r="J51" s="186">
        <f t="shared" si="3"/>
        <v>4385</v>
      </c>
      <c r="K51" s="194" t="str">
        <f t="shared" si="4"/>
        <v>M</v>
      </c>
      <c r="L51" s="174"/>
      <c r="M51" s="174">
        <v>1</v>
      </c>
      <c r="N51" s="174"/>
      <c r="O51" s="195">
        <f t="shared" si="5"/>
        <v>330000</v>
      </c>
      <c r="P51" s="195">
        <f>265000+165000</f>
        <v>430000</v>
      </c>
      <c r="Q51" s="196">
        <f t="shared" si="7"/>
        <v>130.30303030303031</v>
      </c>
      <c r="U51" s="195">
        <v>165000</v>
      </c>
      <c r="V51" s="195"/>
      <c r="W51" s="195">
        <v>265000</v>
      </c>
      <c r="X51" s="2">
        <f t="shared" ref="X51:X61" si="8">SUBTOTAL(9,U51:W51)</f>
        <v>430000</v>
      </c>
      <c r="Y51" s="196">
        <f t="shared" ref="Y51:Y61" si="9">+P51-X51</f>
        <v>0</v>
      </c>
    </row>
    <row r="52" spans="1:25" s="2" customFormat="1" ht="21.75" customHeight="1" x14ac:dyDescent="0.35">
      <c r="A52" s="2">
        <v>10769</v>
      </c>
      <c r="B52" s="169" t="s">
        <v>465</v>
      </c>
      <c r="C52" s="169" t="s">
        <v>466</v>
      </c>
      <c r="D52" s="177">
        <v>3810</v>
      </c>
      <c r="E52" s="185">
        <v>1298</v>
      </c>
      <c r="F52" s="185">
        <v>460</v>
      </c>
      <c r="G52" s="185">
        <v>28</v>
      </c>
      <c r="H52" s="185">
        <v>56</v>
      </c>
      <c r="I52" s="185">
        <v>2</v>
      </c>
      <c r="J52" s="186">
        <f t="shared" si="3"/>
        <v>5654</v>
      </c>
      <c r="K52" s="194" t="str">
        <f t="shared" si="4"/>
        <v>M</v>
      </c>
      <c r="L52" s="174"/>
      <c r="M52" s="174">
        <v>1</v>
      </c>
      <c r="N52" s="174"/>
      <c r="O52" s="195">
        <f t="shared" si="5"/>
        <v>330000</v>
      </c>
      <c r="P52" s="195">
        <f>100000+100000</f>
        <v>200000</v>
      </c>
      <c r="Q52" s="196">
        <f t="shared" si="7"/>
        <v>60.606060606060609</v>
      </c>
      <c r="U52" s="195">
        <v>100000</v>
      </c>
      <c r="V52" s="195"/>
      <c r="W52" s="195">
        <v>100000</v>
      </c>
      <c r="X52" s="2">
        <f t="shared" si="8"/>
        <v>200000</v>
      </c>
      <c r="Y52" s="196">
        <f t="shared" si="9"/>
        <v>0</v>
      </c>
    </row>
    <row r="53" spans="1:25" s="2" customFormat="1" ht="21.75" customHeight="1" x14ac:dyDescent="0.35">
      <c r="A53" s="2">
        <v>10769</v>
      </c>
      <c r="B53" s="43" t="s">
        <v>467</v>
      </c>
      <c r="C53" s="43" t="s">
        <v>468</v>
      </c>
      <c r="D53" s="178">
        <v>2225</v>
      </c>
      <c r="E53" s="185">
        <v>1033</v>
      </c>
      <c r="F53" s="185">
        <v>248</v>
      </c>
      <c r="G53" s="185">
        <v>17</v>
      </c>
      <c r="H53" s="185">
        <v>32</v>
      </c>
      <c r="I53" s="185">
        <v>2</v>
      </c>
      <c r="J53" s="186">
        <f t="shared" si="3"/>
        <v>3557</v>
      </c>
      <c r="K53" s="194" t="str">
        <f t="shared" si="4"/>
        <v>M</v>
      </c>
      <c r="L53" s="174"/>
      <c r="M53" s="174">
        <v>1</v>
      </c>
      <c r="N53" s="174"/>
      <c r="O53" s="195">
        <f t="shared" si="5"/>
        <v>330000</v>
      </c>
      <c r="P53" s="195">
        <f>165000+195000</f>
        <v>360000</v>
      </c>
      <c r="Q53" s="196">
        <f t="shared" si="7"/>
        <v>109.09090909090909</v>
      </c>
      <c r="U53" s="195">
        <v>195000</v>
      </c>
      <c r="V53" s="195"/>
      <c r="W53" s="195">
        <v>165000</v>
      </c>
      <c r="X53" s="2">
        <f t="shared" si="8"/>
        <v>360000</v>
      </c>
      <c r="Y53" s="196">
        <f t="shared" si="9"/>
        <v>0</v>
      </c>
    </row>
    <row r="54" spans="1:25" s="2" customFormat="1" ht="21.75" customHeight="1" x14ac:dyDescent="0.35">
      <c r="A54" s="2">
        <v>10769</v>
      </c>
      <c r="B54" s="169" t="s">
        <v>469</v>
      </c>
      <c r="C54" s="169" t="s">
        <v>470</v>
      </c>
      <c r="D54" s="177">
        <v>2213</v>
      </c>
      <c r="E54" s="185">
        <v>1004</v>
      </c>
      <c r="F54" s="185">
        <v>165</v>
      </c>
      <c r="G54" s="185">
        <v>36</v>
      </c>
      <c r="H54" s="185">
        <v>30</v>
      </c>
      <c r="I54" s="185">
        <v>1</v>
      </c>
      <c r="J54" s="186">
        <f t="shared" si="3"/>
        <v>3449</v>
      </c>
      <c r="K54" s="194" t="str">
        <f t="shared" si="4"/>
        <v>M</v>
      </c>
      <c r="L54" s="174"/>
      <c r="M54" s="174">
        <v>1</v>
      </c>
      <c r="N54" s="174"/>
      <c r="O54" s="195">
        <f t="shared" si="5"/>
        <v>330000</v>
      </c>
      <c r="P54" s="195">
        <f>165000+165000</f>
        <v>330000</v>
      </c>
      <c r="Q54" s="196">
        <f t="shared" si="7"/>
        <v>100</v>
      </c>
      <c r="U54" s="195">
        <v>165000</v>
      </c>
      <c r="V54" s="195"/>
      <c r="W54" s="195">
        <v>165000</v>
      </c>
      <c r="X54" s="2">
        <f t="shared" si="8"/>
        <v>330000</v>
      </c>
      <c r="Y54" s="196">
        <f t="shared" si="9"/>
        <v>0</v>
      </c>
    </row>
    <row r="55" spans="1:25" s="2" customFormat="1" ht="21.75" customHeight="1" x14ac:dyDescent="0.35">
      <c r="A55" s="2">
        <v>10769</v>
      </c>
      <c r="B55" s="43" t="s">
        <v>471</v>
      </c>
      <c r="C55" s="43" t="s">
        <v>472</v>
      </c>
      <c r="D55" s="178">
        <v>1738</v>
      </c>
      <c r="E55" s="185">
        <v>836</v>
      </c>
      <c r="F55" s="185">
        <v>226</v>
      </c>
      <c r="G55" s="185">
        <v>38</v>
      </c>
      <c r="H55" s="185">
        <v>38</v>
      </c>
      <c r="I55" s="185">
        <v>1</v>
      </c>
      <c r="J55" s="186">
        <f t="shared" si="3"/>
        <v>2877</v>
      </c>
      <c r="K55" s="194" t="str">
        <f t="shared" si="4"/>
        <v>S</v>
      </c>
      <c r="L55" s="174">
        <v>1</v>
      </c>
      <c r="M55" s="174"/>
      <c r="N55" s="174"/>
      <c r="O55" s="195">
        <f t="shared" si="5"/>
        <v>300000</v>
      </c>
      <c r="P55" s="195">
        <f>50000+100000</f>
        <v>150000</v>
      </c>
      <c r="Q55" s="196">
        <f t="shared" si="7"/>
        <v>50</v>
      </c>
      <c r="U55" s="195">
        <v>100000</v>
      </c>
      <c r="V55" s="195"/>
      <c r="W55" s="195">
        <v>50000</v>
      </c>
      <c r="X55" s="2">
        <f t="shared" si="8"/>
        <v>150000</v>
      </c>
      <c r="Y55" s="196">
        <f t="shared" si="9"/>
        <v>0</v>
      </c>
    </row>
    <row r="56" spans="1:25" s="2" customFormat="1" ht="21.75" customHeight="1" x14ac:dyDescent="0.35">
      <c r="A56" s="2">
        <v>10769</v>
      </c>
      <c r="B56" s="169" t="s">
        <v>473</v>
      </c>
      <c r="C56" s="169" t="s">
        <v>474</v>
      </c>
      <c r="D56" s="177">
        <v>1322</v>
      </c>
      <c r="E56" s="185">
        <v>658</v>
      </c>
      <c r="F56" s="185">
        <v>125</v>
      </c>
      <c r="G56" s="185">
        <v>18</v>
      </c>
      <c r="H56" s="185">
        <v>23</v>
      </c>
      <c r="I56" s="185">
        <v>1</v>
      </c>
      <c r="J56" s="186">
        <f t="shared" si="3"/>
        <v>2147</v>
      </c>
      <c r="K56" s="194" t="str">
        <f t="shared" si="4"/>
        <v>S</v>
      </c>
      <c r="L56" s="174">
        <v>1</v>
      </c>
      <c r="M56" s="174"/>
      <c r="N56" s="174"/>
      <c r="O56" s="195">
        <f t="shared" si="5"/>
        <v>300000</v>
      </c>
      <c r="P56" s="195">
        <f>200000+220000</f>
        <v>420000</v>
      </c>
      <c r="Q56" s="196">
        <f t="shared" si="7"/>
        <v>140</v>
      </c>
      <c r="U56" s="195">
        <v>220000</v>
      </c>
      <c r="V56" s="195"/>
      <c r="W56" s="195">
        <v>200000</v>
      </c>
      <c r="X56" s="2">
        <f t="shared" si="8"/>
        <v>420000</v>
      </c>
      <c r="Y56" s="196">
        <f t="shared" si="9"/>
        <v>0</v>
      </c>
    </row>
    <row r="57" spans="1:25" s="2" customFormat="1" ht="21.75" customHeight="1" x14ac:dyDescent="0.35">
      <c r="A57" s="2">
        <v>10769</v>
      </c>
      <c r="B57" s="43" t="s">
        <v>475</v>
      </c>
      <c r="C57" s="43" t="s">
        <v>476</v>
      </c>
      <c r="D57" s="178">
        <v>1071</v>
      </c>
      <c r="E57" s="185">
        <v>517</v>
      </c>
      <c r="F57" s="185">
        <v>197</v>
      </c>
      <c r="G57" s="185">
        <v>17</v>
      </c>
      <c r="H57" s="185">
        <v>16</v>
      </c>
      <c r="I57" s="185">
        <v>0</v>
      </c>
      <c r="J57" s="186">
        <f t="shared" si="3"/>
        <v>1818</v>
      </c>
      <c r="K57" s="194" t="str">
        <f t="shared" si="4"/>
        <v>S</v>
      </c>
      <c r="L57" s="174">
        <v>1</v>
      </c>
      <c r="M57" s="174"/>
      <c r="N57" s="174"/>
      <c r="O57" s="195">
        <f t="shared" si="5"/>
        <v>300000</v>
      </c>
      <c r="P57" s="195">
        <f>200000+200000</f>
        <v>400000</v>
      </c>
      <c r="Q57" s="196">
        <f t="shared" si="7"/>
        <v>133.33333333333334</v>
      </c>
      <c r="U57" s="195">
        <v>200000</v>
      </c>
      <c r="V57" s="195"/>
      <c r="W57" s="195">
        <v>200000</v>
      </c>
      <c r="X57" s="2">
        <f t="shared" si="8"/>
        <v>400000</v>
      </c>
      <c r="Y57" s="196">
        <f t="shared" si="9"/>
        <v>0</v>
      </c>
    </row>
    <row r="58" spans="1:25" s="2" customFormat="1" ht="21.75" customHeight="1" x14ac:dyDescent="0.35">
      <c r="A58" s="2">
        <v>10769</v>
      </c>
      <c r="B58" s="169" t="s">
        <v>477</v>
      </c>
      <c r="C58" s="169" t="s">
        <v>478</v>
      </c>
      <c r="D58" s="177">
        <v>1314</v>
      </c>
      <c r="E58" s="185">
        <v>616</v>
      </c>
      <c r="F58" s="185">
        <v>120</v>
      </c>
      <c r="G58" s="185">
        <v>9</v>
      </c>
      <c r="H58" s="185">
        <v>12</v>
      </c>
      <c r="I58" s="185">
        <v>0</v>
      </c>
      <c r="J58" s="186">
        <f t="shared" si="3"/>
        <v>2071</v>
      </c>
      <c r="K58" s="194" t="str">
        <f t="shared" si="4"/>
        <v>S</v>
      </c>
      <c r="L58" s="174">
        <v>1</v>
      </c>
      <c r="M58" s="174"/>
      <c r="N58" s="174"/>
      <c r="O58" s="195">
        <f t="shared" si="5"/>
        <v>300000</v>
      </c>
      <c r="P58" s="195">
        <f>200000+180000</f>
        <v>380000</v>
      </c>
      <c r="Q58" s="196">
        <f t="shared" si="7"/>
        <v>126.66666666666667</v>
      </c>
      <c r="U58" s="195">
        <v>180000</v>
      </c>
      <c r="V58" s="195"/>
      <c r="W58" s="195">
        <v>200000</v>
      </c>
      <c r="X58" s="2">
        <f t="shared" si="8"/>
        <v>380000</v>
      </c>
      <c r="Y58" s="196">
        <f t="shared" si="9"/>
        <v>0</v>
      </c>
    </row>
    <row r="59" spans="1:25" s="2" customFormat="1" ht="21.75" customHeight="1" x14ac:dyDescent="0.35">
      <c r="A59" s="2">
        <v>10769</v>
      </c>
      <c r="B59" s="43" t="s">
        <v>479</v>
      </c>
      <c r="C59" s="43" t="s">
        <v>480</v>
      </c>
      <c r="D59" s="178">
        <v>1345</v>
      </c>
      <c r="E59" s="185">
        <v>769</v>
      </c>
      <c r="F59" s="185">
        <v>144</v>
      </c>
      <c r="G59" s="185">
        <v>13</v>
      </c>
      <c r="H59" s="185">
        <v>24</v>
      </c>
      <c r="I59" s="185">
        <v>0</v>
      </c>
      <c r="J59" s="186">
        <f t="shared" si="3"/>
        <v>2295</v>
      </c>
      <c r="K59" s="194" t="str">
        <f t="shared" si="4"/>
        <v>S</v>
      </c>
      <c r="L59" s="174">
        <v>1</v>
      </c>
      <c r="M59" s="174"/>
      <c r="N59" s="174"/>
      <c r="O59" s="195">
        <f t="shared" si="5"/>
        <v>300000</v>
      </c>
      <c r="P59" s="195">
        <f>100000+100000</f>
        <v>200000</v>
      </c>
      <c r="Q59" s="196">
        <f t="shared" si="7"/>
        <v>66.666666666666671</v>
      </c>
      <c r="U59" s="195">
        <v>100000</v>
      </c>
      <c r="V59" s="195"/>
      <c r="W59" s="195">
        <v>100000</v>
      </c>
      <c r="X59" s="2">
        <f t="shared" si="8"/>
        <v>200000</v>
      </c>
      <c r="Y59" s="196">
        <f t="shared" si="9"/>
        <v>0</v>
      </c>
    </row>
    <row r="60" spans="1:25" s="2" customFormat="1" ht="21.75" customHeight="1" x14ac:dyDescent="0.35">
      <c r="A60" s="2">
        <v>10769</v>
      </c>
      <c r="B60" s="169" t="s">
        <v>459</v>
      </c>
      <c r="C60" s="169" t="s">
        <v>460</v>
      </c>
      <c r="D60" s="177">
        <v>777</v>
      </c>
      <c r="E60" s="185">
        <v>358</v>
      </c>
      <c r="F60" s="185">
        <v>75</v>
      </c>
      <c r="G60" s="185">
        <v>20</v>
      </c>
      <c r="H60" s="185">
        <v>18</v>
      </c>
      <c r="I60" s="185">
        <v>2</v>
      </c>
      <c r="J60" s="186">
        <f t="shared" si="3"/>
        <v>1250</v>
      </c>
      <c r="K60" s="194" t="str">
        <f t="shared" si="4"/>
        <v>S</v>
      </c>
      <c r="L60" s="174">
        <v>1</v>
      </c>
      <c r="M60" s="174"/>
      <c r="N60" s="174"/>
      <c r="O60" s="195">
        <f t="shared" si="5"/>
        <v>300000</v>
      </c>
      <c r="P60" s="195">
        <f>100000+100000</f>
        <v>200000</v>
      </c>
      <c r="Q60" s="196">
        <f t="shared" si="7"/>
        <v>66.666666666666671</v>
      </c>
      <c r="U60" s="195">
        <v>100000</v>
      </c>
      <c r="V60" s="195"/>
      <c r="W60" s="195">
        <v>100000</v>
      </c>
      <c r="X60" s="2">
        <f t="shared" si="8"/>
        <v>200000</v>
      </c>
      <c r="Y60" s="196">
        <f t="shared" si="9"/>
        <v>0</v>
      </c>
    </row>
    <row r="61" spans="1:25" s="2" customFormat="1" ht="21.75" customHeight="1" x14ac:dyDescent="0.35">
      <c r="A61" s="2">
        <v>10769</v>
      </c>
      <c r="B61" s="43" t="s">
        <v>481</v>
      </c>
      <c r="C61" s="43" t="s">
        <v>482</v>
      </c>
      <c r="D61" s="178">
        <v>1181</v>
      </c>
      <c r="E61" s="185">
        <v>581</v>
      </c>
      <c r="F61" s="185">
        <v>171</v>
      </c>
      <c r="G61" s="185">
        <v>10</v>
      </c>
      <c r="H61" s="185">
        <v>22</v>
      </c>
      <c r="I61" s="185">
        <v>0</v>
      </c>
      <c r="J61" s="186">
        <f t="shared" si="3"/>
        <v>1965</v>
      </c>
      <c r="K61" s="194" t="str">
        <f t="shared" si="4"/>
        <v>S</v>
      </c>
      <c r="L61" s="174">
        <v>1</v>
      </c>
      <c r="M61" s="174"/>
      <c r="N61" s="174"/>
      <c r="O61" s="195">
        <f t="shared" si="5"/>
        <v>300000</v>
      </c>
      <c r="P61" s="195">
        <f>150000+150000</f>
        <v>300000</v>
      </c>
      <c r="Q61" s="196">
        <f t="shared" si="7"/>
        <v>100</v>
      </c>
      <c r="U61" s="195">
        <v>150000</v>
      </c>
      <c r="V61" s="195"/>
      <c r="W61" s="195">
        <v>150000</v>
      </c>
      <c r="X61" s="2">
        <f t="shared" si="8"/>
        <v>300000</v>
      </c>
      <c r="Y61" s="196">
        <f t="shared" si="9"/>
        <v>0</v>
      </c>
    </row>
    <row r="62" spans="1:25" s="2" customFormat="1" ht="21.75" customHeight="1" x14ac:dyDescent="0.35">
      <c r="A62" s="2">
        <v>10770</v>
      </c>
      <c r="B62" s="43" t="s">
        <v>353</v>
      </c>
      <c r="C62" s="43" t="s">
        <v>354</v>
      </c>
      <c r="D62" s="178">
        <v>1799</v>
      </c>
      <c r="E62" s="185">
        <v>609</v>
      </c>
      <c r="F62" s="185">
        <v>88</v>
      </c>
      <c r="G62" s="185">
        <v>8</v>
      </c>
      <c r="H62" s="185">
        <v>21</v>
      </c>
      <c r="I62" s="185">
        <v>1</v>
      </c>
      <c r="J62" s="186">
        <f t="shared" si="3"/>
        <v>2526</v>
      </c>
      <c r="K62" s="194" t="str">
        <f t="shared" si="4"/>
        <v>S</v>
      </c>
      <c r="L62" s="174">
        <v>1</v>
      </c>
      <c r="M62" s="174"/>
      <c r="N62" s="174"/>
      <c r="O62" s="195">
        <f t="shared" si="5"/>
        <v>300000</v>
      </c>
      <c r="P62" s="195">
        <f>94492+93827.2</f>
        <v>188319.2</v>
      </c>
      <c r="Q62" s="196">
        <f t="shared" si="7"/>
        <v>62.773066666666665</v>
      </c>
      <c r="V62" s="195">
        <v>93827.199999999997</v>
      </c>
      <c r="W62" s="195">
        <v>94492</v>
      </c>
      <c r="X62" s="195">
        <f t="shared" ref="X62:X64" si="10">SUBTOTAL(9,U62:W62)</f>
        <v>188319.2</v>
      </c>
      <c r="Y62" s="196">
        <f t="shared" ref="Y62:Y64" si="11">+P62-X62</f>
        <v>0</v>
      </c>
    </row>
    <row r="63" spans="1:25" s="2" customFormat="1" ht="21.75" customHeight="1" x14ac:dyDescent="0.35">
      <c r="A63" s="2">
        <v>10770</v>
      </c>
      <c r="B63" s="169" t="s">
        <v>491</v>
      </c>
      <c r="C63" s="169" t="s">
        <v>492</v>
      </c>
      <c r="D63" s="177">
        <v>1517</v>
      </c>
      <c r="E63" s="185">
        <v>854</v>
      </c>
      <c r="F63" s="185">
        <v>140</v>
      </c>
      <c r="G63" s="185">
        <v>22</v>
      </c>
      <c r="H63" s="185">
        <v>25</v>
      </c>
      <c r="I63" s="185">
        <v>1</v>
      </c>
      <c r="J63" s="186">
        <f t="shared" si="3"/>
        <v>2559</v>
      </c>
      <c r="K63" s="194" t="str">
        <f t="shared" si="4"/>
        <v>S</v>
      </c>
      <c r="L63" s="174">
        <v>1</v>
      </c>
      <c r="M63" s="174"/>
      <c r="N63" s="174"/>
      <c r="O63" s="195">
        <f t="shared" si="5"/>
        <v>300000</v>
      </c>
      <c r="P63" s="195">
        <f>25000+25000</f>
        <v>50000</v>
      </c>
      <c r="Q63" s="196">
        <f t="shared" si="7"/>
        <v>16.666666666666668</v>
      </c>
      <c r="V63" s="195">
        <v>25000</v>
      </c>
      <c r="W63" s="195">
        <v>25000</v>
      </c>
      <c r="X63" s="195">
        <f t="shared" si="10"/>
        <v>50000</v>
      </c>
      <c r="Y63" s="196">
        <f t="shared" si="11"/>
        <v>0</v>
      </c>
    </row>
    <row r="64" spans="1:25" s="2" customFormat="1" ht="21.75" customHeight="1" x14ac:dyDescent="0.35">
      <c r="A64" s="2">
        <v>10770</v>
      </c>
      <c r="B64" s="43" t="s">
        <v>296</v>
      </c>
      <c r="C64" s="43" t="s">
        <v>297</v>
      </c>
      <c r="D64" s="178">
        <v>436</v>
      </c>
      <c r="E64" s="185">
        <v>236</v>
      </c>
      <c r="F64" s="185">
        <v>79</v>
      </c>
      <c r="G64" s="185">
        <v>16</v>
      </c>
      <c r="H64" s="185">
        <v>14</v>
      </c>
      <c r="I64" s="185">
        <v>0</v>
      </c>
      <c r="J64" s="186">
        <f t="shared" si="3"/>
        <v>781</v>
      </c>
      <c r="K64" s="194" t="str">
        <f t="shared" si="4"/>
        <v>S</v>
      </c>
      <c r="L64" s="174">
        <v>1</v>
      </c>
      <c r="M64" s="174"/>
      <c r="N64" s="174"/>
      <c r="O64" s="195">
        <f t="shared" si="5"/>
        <v>300000</v>
      </c>
      <c r="P64" s="195">
        <f>73900+25000</f>
        <v>98900</v>
      </c>
      <c r="Q64" s="196">
        <f t="shared" si="7"/>
        <v>32.966666666666669</v>
      </c>
      <c r="V64" s="195">
        <v>25000</v>
      </c>
      <c r="W64" s="195">
        <v>73900</v>
      </c>
      <c r="X64" s="195">
        <f t="shared" si="10"/>
        <v>98900</v>
      </c>
      <c r="Y64" s="196">
        <f t="shared" si="11"/>
        <v>0</v>
      </c>
    </row>
    <row r="65" spans="1:25" s="2" customFormat="1" ht="21.75" customHeight="1" x14ac:dyDescent="0.35">
      <c r="A65" s="2">
        <v>10770</v>
      </c>
      <c r="B65" s="169" t="s">
        <v>355</v>
      </c>
      <c r="C65" s="169" t="s">
        <v>356</v>
      </c>
      <c r="D65" s="177">
        <v>539</v>
      </c>
      <c r="E65" s="185">
        <v>217</v>
      </c>
      <c r="F65" s="185">
        <v>80</v>
      </c>
      <c r="G65" s="185">
        <v>12</v>
      </c>
      <c r="H65" s="185">
        <v>12</v>
      </c>
      <c r="I65" s="185">
        <v>0</v>
      </c>
      <c r="J65" s="186">
        <f t="shared" si="3"/>
        <v>860</v>
      </c>
      <c r="K65" s="194" t="str">
        <f t="shared" si="4"/>
        <v>S</v>
      </c>
      <c r="L65" s="174">
        <v>1</v>
      </c>
      <c r="M65" s="174"/>
      <c r="N65" s="174"/>
      <c r="O65" s="195">
        <f t="shared" si="5"/>
        <v>300000</v>
      </c>
      <c r="P65" s="195">
        <f>25000+25000</f>
        <v>50000</v>
      </c>
      <c r="Q65" s="196">
        <f t="shared" si="7"/>
        <v>16.666666666666668</v>
      </c>
      <c r="V65" s="195">
        <v>25000</v>
      </c>
      <c r="W65" s="195">
        <v>25000</v>
      </c>
      <c r="X65" s="195">
        <f>SUBTOTAL(9,U65:W65)</f>
        <v>50000</v>
      </c>
      <c r="Y65" s="196">
        <f>+P65-X65</f>
        <v>0</v>
      </c>
    </row>
    <row r="66" spans="1:25" s="2" customFormat="1" ht="21.75" customHeight="1" x14ac:dyDescent="0.35">
      <c r="A66" s="2">
        <v>10770</v>
      </c>
      <c r="B66" s="43" t="s">
        <v>357</v>
      </c>
      <c r="C66" s="43" t="s">
        <v>358</v>
      </c>
      <c r="D66" s="178">
        <v>812</v>
      </c>
      <c r="E66" s="185">
        <v>448</v>
      </c>
      <c r="F66" s="185">
        <v>127</v>
      </c>
      <c r="G66" s="185">
        <v>19</v>
      </c>
      <c r="H66" s="185">
        <v>30</v>
      </c>
      <c r="I66" s="185">
        <v>0</v>
      </c>
      <c r="J66" s="186">
        <f t="shared" si="3"/>
        <v>1436</v>
      </c>
      <c r="K66" s="194" t="str">
        <f t="shared" si="4"/>
        <v>S</v>
      </c>
      <c r="L66" s="174">
        <v>1</v>
      </c>
      <c r="M66" s="174"/>
      <c r="N66" s="174"/>
      <c r="O66" s="195">
        <f t="shared" si="5"/>
        <v>300000</v>
      </c>
      <c r="P66" s="195">
        <f>97516+158733</f>
        <v>256249</v>
      </c>
      <c r="Q66" s="196">
        <f t="shared" si="7"/>
        <v>85.416333333333327</v>
      </c>
      <c r="V66" s="195">
        <v>158733</v>
      </c>
      <c r="W66" s="195">
        <v>97516</v>
      </c>
      <c r="X66" s="195">
        <f t="shared" ref="X66:X84" si="12">SUBTOTAL(9,U66:W66)</f>
        <v>256249</v>
      </c>
      <c r="Y66" s="196">
        <f t="shared" ref="Y66:Y102" si="13">+P66-X66</f>
        <v>0</v>
      </c>
    </row>
    <row r="67" spans="1:25" s="2" customFormat="1" ht="21.75" customHeight="1" x14ac:dyDescent="0.35">
      <c r="A67" s="2">
        <v>10770</v>
      </c>
      <c r="B67" s="169" t="s">
        <v>298</v>
      </c>
      <c r="C67" s="169" t="s">
        <v>299</v>
      </c>
      <c r="D67" s="177">
        <v>481</v>
      </c>
      <c r="E67" s="185">
        <v>292</v>
      </c>
      <c r="F67" s="185">
        <v>63</v>
      </c>
      <c r="G67" s="185">
        <v>15</v>
      </c>
      <c r="H67" s="185">
        <v>11</v>
      </c>
      <c r="I67" s="185">
        <v>1</v>
      </c>
      <c r="J67" s="186">
        <f t="shared" si="3"/>
        <v>863</v>
      </c>
      <c r="K67" s="194" t="str">
        <f t="shared" si="4"/>
        <v>S</v>
      </c>
      <c r="L67" s="174">
        <v>1</v>
      </c>
      <c r="M67" s="174"/>
      <c r="N67" s="174"/>
      <c r="O67" s="195">
        <f t="shared" si="5"/>
        <v>300000</v>
      </c>
      <c r="P67" s="195">
        <f>25000+25000</f>
        <v>50000</v>
      </c>
      <c r="Q67" s="196">
        <f t="shared" si="7"/>
        <v>16.666666666666668</v>
      </c>
      <c r="V67" s="195">
        <v>25000</v>
      </c>
      <c r="W67" s="195">
        <v>25000</v>
      </c>
      <c r="X67" s="195">
        <f t="shared" si="12"/>
        <v>50000</v>
      </c>
      <c r="Y67" s="196">
        <f t="shared" si="13"/>
        <v>0</v>
      </c>
    </row>
    <row r="68" spans="1:25" s="2" customFormat="1" ht="21.75" customHeight="1" x14ac:dyDescent="0.35">
      <c r="A68" s="2">
        <v>10770</v>
      </c>
      <c r="B68" s="43" t="s">
        <v>359</v>
      </c>
      <c r="C68" s="43" t="s">
        <v>360</v>
      </c>
      <c r="D68" s="178">
        <v>711</v>
      </c>
      <c r="E68" s="185">
        <v>315</v>
      </c>
      <c r="F68" s="185">
        <v>73</v>
      </c>
      <c r="G68" s="185">
        <v>5</v>
      </c>
      <c r="H68" s="185">
        <v>14</v>
      </c>
      <c r="I68" s="185">
        <v>0</v>
      </c>
      <c r="J68" s="186">
        <f t="shared" si="3"/>
        <v>1118</v>
      </c>
      <c r="K68" s="194" t="str">
        <f t="shared" si="4"/>
        <v>S</v>
      </c>
      <c r="L68" s="174">
        <v>1</v>
      </c>
      <c r="M68" s="174"/>
      <c r="N68" s="174"/>
      <c r="O68" s="195">
        <f t="shared" si="5"/>
        <v>300000</v>
      </c>
      <c r="P68" s="195">
        <f>25000+25000</f>
        <v>50000</v>
      </c>
      <c r="Q68" s="196">
        <f t="shared" si="7"/>
        <v>16.666666666666668</v>
      </c>
      <c r="V68" s="195">
        <v>25000</v>
      </c>
      <c r="W68" s="195">
        <v>25000</v>
      </c>
      <c r="X68" s="195">
        <f t="shared" si="12"/>
        <v>50000</v>
      </c>
      <c r="Y68" s="196">
        <f t="shared" si="13"/>
        <v>0</v>
      </c>
    </row>
    <row r="69" spans="1:25" s="2" customFormat="1" ht="21.75" customHeight="1" x14ac:dyDescent="0.35">
      <c r="A69" s="2">
        <v>10770</v>
      </c>
      <c r="B69" s="169" t="s">
        <v>361</v>
      </c>
      <c r="C69" s="169" t="s">
        <v>362</v>
      </c>
      <c r="D69" s="177">
        <v>837</v>
      </c>
      <c r="E69" s="185">
        <v>466</v>
      </c>
      <c r="F69" s="185">
        <v>77</v>
      </c>
      <c r="G69" s="185">
        <v>5</v>
      </c>
      <c r="H69" s="185">
        <v>15</v>
      </c>
      <c r="I69" s="185">
        <v>1</v>
      </c>
      <c r="J69" s="186">
        <f t="shared" si="3"/>
        <v>1401</v>
      </c>
      <c r="K69" s="194" t="str">
        <f t="shared" si="4"/>
        <v>S</v>
      </c>
      <c r="L69" s="174">
        <v>1</v>
      </c>
      <c r="M69" s="174"/>
      <c r="N69" s="174"/>
      <c r="O69" s="195">
        <f t="shared" si="5"/>
        <v>300000</v>
      </c>
      <c r="P69" s="195">
        <f>73900+73900</f>
        <v>147800</v>
      </c>
      <c r="Q69" s="196">
        <f t="shared" si="7"/>
        <v>49.266666666666666</v>
      </c>
      <c r="V69" s="195">
        <v>73900</v>
      </c>
      <c r="W69" s="195">
        <v>73900</v>
      </c>
      <c r="X69" s="195">
        <f t="shared" si="12"/>
        <v>147800</v>
      </c>
      <c r="Y69" s="196">
        <f t="shared" si="13"/>
        <v>0</v>
      </c>
    </row>
    <row r="70" spans="1:25" s="2" customFormat="1" ht="21.75" customHeight="1" x14ac:dyDescent="0.35">
      <c r="A70" s="2">
        <v>10770</v>
      </c>
      <c r="B70" s="43" t="s">
        <v>300</v>
      </c>
      <c r="C70" s="43" t="s">
        <v>301</v>
      </c>
      <c r="D70" s="178">
        <v>996</v>
      </c>
      <c r="E70" s="185">
        <v>415</v>
      </c>
      <c r="F70" s="185">
        <v>111</v>
      </c>
      <c r="G70" s="185">
        <v>22</v>
      </c>
      <c r="H70" s="185">
        <v>19</v>
      </c>
      <c r="I70" s="185">
        <v>1</v>
      </c>
      <c r="J70" s="186">
        <f t="shared" ref="J70:J133" si="14">SUM(D70:I70)</f>
        <v>1564</v>
      </c>
      <c r="K70" s="194" t="str">
        <f t="shared" ref="K70:K133" si="15">VLOOKUP(J70,$N$212:$O$215,2)</f>
        <v>S</v>
      </c>
      <c r="L70" s="174">
        <v>1</v>
      </c>
      <c r="M70" s="174"/>
      <c r="N70" s="174"/>
      <c r="O70" s="195">
        <f t="shared" ref="O70:O133" si="16">VLOOKUP(J70,$N$217:$O$220,2)</f>
        <v>300000</v>
      </c>
      <c r="P70" s="195">
        <f>99340+124590.4</f>
        <v>223930.4</v>
      </c>
      <c r="Q70" s="196">
        <f t="shared" si="7"/>
        <v>74.643466666666669</v>
      </c>
      <c r="V70" s="195">
        <v>124590.39999999999</v>
      </c>
      <c r="W70" s="195">
        <v>99340</v>
      </c>
      <c r="X70" s="195">
        <f t="shared" si="12"/>
        <v>223930.4</v>
      </c>
      <c r="Y70" s="196">
        <f t="shared" si="13"/>
        <v>0</v>
      </c>
    </row>
    <row r="71" spans="1:25" s="2" customFormat="1" ht="21.75" customHeight="1" x14ac:dyDescent="0.35">
      <c r="A71" s="2">
        <v>10770</v>
      </c>
      <c r="B71" s="169" t="s">
        <v>302</v>
      </c>
      <c r="C71" s="169" t="s">
        <v>303</v>
      </c>
      <c r="D71" s="177">
        <v>1262</v>
      </c>
      <c r="E71" s="185">
        <v>537</v>
      </c>
      <c r="F71" s="185">
        <v>110</v>
      </c>
      <c r="G71" s="185">
        <v>19</v>
      </c>
      <c r="H71" s="185">
        <v>22</v>
      </c>
      <c r="I71" s="185">
        <v>1</v>
      </c>
      <c r="J71" s="186">
        <f t="shared" si="14"/>
        <v>1951</v>
      </c>
      <c r="K71" s="194" t="str">
        <f t="shared" si="15"/>
        <v>S</v>
      </c>
      <c r="L71" s="174">
        <v>1</v>
      </c>
      <c r="M71" s="174"/>
      <c r="N71" s="174"/>
      <c r="O71" s="195">
        <f t="shared" si="16"/>
        <v>300000</v>
      </c>
      <c r="P71" s="195">
        <f>97516+101377.6</f>
        <v>198893.6</v>
      </c>
      <c r="Q71" s="196">
        <f t="shared" si="7"/>
        <v>66.297866666666664</v>
      </c>
      <c r="V71" s="195">
        <v>101377.60000000001</v>
      </c>
      <c r="W71" s="195">
        <v>97516</v>
      </c>
      <c r="X71" s="195">
        <f t="shared" si="12"/>
        <v>198893.6</v>
      </c>
      <c r="Y71" s="196">
        <f t="shared" si="13"/>
        <v>0</v>
      </c>
    </row>
    <row r="72" spans="1:25" s="2" customFormat="1" ht="21.75" customHeight="1" x14ac:dyDescent="0.35">
      <c r="A72" s="2">
        <v>10770</v>
      </c>
      <c r="B72" s="43" t="s">
        <v>304</v>
      </c>
      <c r="C72" s="43" t="s">
        <v>305</v>
      </c>
      <c r="D72" s="178">
        <v>750</v>
      </c>
      <c r="E72" s="185">
        <v>275</v>
      </c>
      <c r="F72" s="185">
        <v>54</v>
      </c>
      <c r="G72" s="185">
        <v>9</v>
      </c>
      <c r="H72" s="185">
        <v>7</v>
      </c>
      <c r="I72" s="185">
        <v>1</v>
      </c>
      <c r="J72" s="186">
        <f t="shared" si="14"/>
        <v>1096</v>
      </c>
      <c r="K72" s="194" t="str">
        <f t="shared" si="15"/>
        <v>S</v>
      </c>
      <c r="L72" s="174">
        <v>1</v>
      </c>
      <c r="M72" s="174"/>
      <c r="N72" s="174"/>
      <c r="O72" s="195">
        <f t="shared" si="16"/>
        <v>300000</v>
      </c>
      <c r="P72" s="195">
        <f>129580+128584</f>
        <v>258164</v>
      </c>
      <c r="Q72" s="196">
        <f t="shared" si="7"/>
        <v>86.054666666666662</v>
      </c>
      <c r="V72" s="195">
        <v>128584</v>
      </c>
      <c r="W72" s="195">
        <v>129580</v>
      </c>
      <c r="X72" s="195">
        <f t="shared" si="12"/>
        <v>258164</v>
      </c>
      <c r="Y72" s="196">
        <f t="shared" si="13"/>
        <v>0</v>
      </c>
    </row>
    <row r="73" spans="1:25" s="2" customFormat="1" ht="21.75" customHeight="1" x14ac:dyDescent="0.35">
      <c r="A73" s="2">
        <v>10770</v>
      </c>
      <c r="B73" s="169" t="s">
        <v>363</v>
      </c>
      <c r="C73" s="169" t="s">
        <v>364</v>
      </c>
      <c r="D73" s="177">
        <v>1057</v>
      </c>
      <c r="E73" s="185">
        <v>555</v>
      </c>
      <c r="F73" s="185">
        <v>84</v>
      </c>
      <c r="G73" s="185">
        <v>15</v>
      </c>
      <c r="H73" s="185">
        <v>22</v>
      </c>
      <c r="I73" s="185">
        <v>0</v>
      </c>
      <c r="J73" s="186">
        <f t="shared" si="14"/>
        <v>1733</v>
      </c>
      <c r="K73" s="194" t="str">
        <f t="shared" si="15"/>
        <v>S</v>
      </c>
      <c r="L73" s="174">
        <v>1</v>
      </c>
      <c r="M73" s="174"/>
      <c r="N73" s="174"/>
      <c r="O73" s="195">
        <f t="shared" si="16"/>
        <v>300000</v>
      </c>
      <c r="P73" s="195">
        <f>95752+25000</f>
        <v>120752</v>
      </c>
      <c r="Q73" s="196">
        <f t="shared" si="7"/>
        <v>40.250666666666667</v>
      </c>
      <c r="V73" s="195">
        <v>25000</v>
      </c>
      <c r="W73" s="195">
        <v>95752</v>
      </c>
      <c r="X73" s="195">
        <f t="shared" si="12"/>
        <v>120752</v>
      </c>
      <c r="Y73" s="196">
        <f t="shared" si="13"/>
        <v>0</v>
      </c>
    </row>
    <row r="74" spans="1:25" s="2" customFormat="1" ht="21.75" customHeight="1" x14ac:dyDescent="0.35">
      <c r="A74" s="2">
        <v>10770</v>
      </c>
      <c r="B74" s="43" t="s">
        <v>365</v>
      </c>
      <c r="C74" s="43" t="s">
        <v>366</v>
      </c>
      <c r="D74" s="178">
        <v>1397</v>
      </c>
      <c r="E74" s="185">
        <v>569</v>
      </c>
      <c r="F74" s="185">
        <v>62</v>
      </c>
      <c r="G74" s="185">
        <v>0</v>
      </c>
      <c r="H74" s="185">
        <v>10</v>
      </c>
      <c r="I74" s="185">
        <v>1</v>
      </c>
      <c r="J74" s="186">
        <f t="shared" si="14"/>
        <v>2039</v>
      </c>
      <c r="K74" s="194" t="str">
        <f t="shared" si="15"/>
        <v>S</v>
      </c>
      <c r="L74" s="174">
        <v>1</v>
      </c>
      <c r="M74" s="174"/>
      <c r="N74" s="174"/>
      <c r="O74" s="195">
        <f t="shared" si="16"/>
        <v>300000</v>
      </c>
      <c r="P74" s="195">
        <f>103186+124590.4</f>
        <v>227776.4</v>
      </c>
      <c r="Q74" s="196">
        <f t="shared" si="7"/>
        <v>75.925466666666665</v>
      </c>
      <c r="V74" s="195">
        <v>124590.39999999999</v>
      </c>
      <c r="W74" s="195">
        <v>103186</v>
      </c>
      <c r="X74" s="195">
        <f t="shared" si="12"/>
        <v>227776.4</v>
      </c>
      <c r="Y74" s="196">
        <f t="shared" si="13"/>
        <v>0</v>
      </c>
    </row>
    <row r="75" spans="1:25" s="2" customFormat="1" ht="21.75" customHeight="1" x14ac:dyDescent="0.35">
      <c r="A75" s="2">
        <v>10770</v>
      </c>
      <c r="B75" s="169" t="s">
        <v>367</v>
      </c>
      <c r="C75" s="169" t="s">
        <v>368</v>
      </c>
      <c r="D75" s="177">
        <v>1485</v>
      </c>
      <c r="E75" s="185">
        <v>465</v>
      </c>
      <c r="F75" s="185">
        <v>66</v>
      </c>
      <c r="G75" s="185">
        <v>2</v>
      </c>
      <c r="H75" s="185">
        <v>13</v>
      </c>
      <c r="I75" s="185">
        <v>0</v>
      </c>
      <c r="J75" s="186">
        <f t="shared" si="14"/>
        <v>2031</v>
      </c>
      <c r="K75" s="194" t="str">
        <f t="shared" si="15"/>
        <v>S</v>
      </c>
      <c r="L75" s="174">
        <v>1</v>
      </c>
      <c r="M75" s="174"/>
      <c r="N75" s="174"/>
      <c r="O75" s="195">
        <f t="shared" si="16"/>
        <v>300000</v>
      </c>
      <c r="P75" s="195">
        <f>171856+200968</f>
        <v>372824</v>
      </c>
      <c r="Q75" s="196">
        <f t="shared" si="7"/>
        <v>124.27466666666666</v>
      </c>
      <c r="V75" s="195">
        <v>200968</v>
      </c>
      <c r="W75" s="195">
        <v>171856</v>
      </c>
      <c r="X75" s="195">
        <f t="shared" si="12"/>
        <v>372824</v>
      </c>
      <c r="Y75" s="196">
        <f t="shared" si="13"/>
        <v>0</v>
      </c>
    </row>
    <row r="76" spans="1:25" s="2" customFormat="1" ht="21.75" customHeight="1" x14ac:dyDescent="0.35">
      <c r="A76" s="2">
        <v>10770</v>
      </c>
      <c r="B76" s="43" t="s">
        <v>369</v>
      </c>
      <c r="C76" s="43" t="s">
        <v>370</v>
      </c>
      <c r="D76" s="178">
        <v>2840</v>
      </c>
      <c r="E76" s="185">
        <v>1211</v>
      </c>
      <c r="F76" s="185">
        <v>335</v>
      </c>
      <c r="G76" s="185">
        <v>23</v>
      </c>
      <c r="H76" s="185">
        <v>75</v>
      </c>
      <c r="I76" s="185">
        <v>3</v>
      </c>
      <c r="J76" s="186">
        <f t="shared" si="14"/>
        <v>4487</v>
      </c>
      <c r="K76" s="194" t="str">
        <f t="shared" si="15"/>
        <v>M</v>
      </c>
      <c r="L76" s="174"/>
      <c r="M76" s="174">
        <v>1</v>
      </c>
      <c r="N76" s="174"/>
      <c r="O76" s="195">
        <f t="shared" si="16"/>
        <v>330000</v>
      </c>
      <c r="P76" s="195">
        <f>25000+25000</f>
        <v>50000</v>
      </c>
      <c r="Q76" s="196">
        <f t="shared" si="7"/>
        <v>15.151515151515152</v>
      </c>
      <c r="V76" s="195">
        <v>25000</v>
      </c>
      <c r="W76" s="195">
        <v>25000</v>
      </c>
      <c r="X76" s="195">
        <f t="shared" si="12"/>
        <v>50000</v>
      </c>
      <c r="Y76" s="196">
        <f t="shared" si="13"/>
        <v>0</v>
      </c>
    </row>
    <row r="77" spans="1:25" s="2" customFormat="1" ht="21.75" customHeight="1" x14ac:dyDescent="0.35">
      <c r="A77" s="2">
        <v>10770</v>
      </c>
      <c r="B77" s="169" t="s">
        <v>371</v>
      </c>
      <c r="C77" s="169" t="s">
        <v>372</v>
      </c>
      <c r="D77" s="177">
        <v>1827</v>
      </c>
      <c r="E77" s="185">
        <v>850</v>
      </c>
      <c r="F77" s="185">
        <v>336</v>
      </c>
      <c r="G77" s="185">
        <v>19</v>
      </c>
      <c r="H77" s="185">
        <v>55</v>
      </c>
      <c r="I77" s="185">
        <v>2</v>
      </c>
      <c r="J77" s="186">
        <f t="shared" si="14"/>
        <v>3089</v>
      </c>
      <c r="K77" s="194" t="str">
        <f t="shared" si="15"/>
        <v>M</v>
      </c>
      <c r="L77" s="174"/>
      <c r="M77" s="174">
        <v>1</v>
      </c>
      <c r="N77" s="174"/>
      <c r="O77" s="195">
        <f t="shared" si="16"/>
        <v>330000</v>
      </c>
      <c r="P77" s="195">
        <f>102052+124590.4</f>
        <v>226642.4</v>
      </c>
      <c r="Q77" s="196">
        <f t="shared" si="7"/>
        <v>68.679515151515147</v>
      </c>
      <c r="V77" s="195">
        <v>124590.39999999999</v>
      </c>
      <c r="W77" s="195">
        <v>102052</v>
      </c>
      <c r="X77" s="195">
        <f t="shared" si="12"/>
        <v>226642.4</v>
      </c>
      <c r="Y77" s="196">
        <f t="shared" si="13"/>
        <v>0</v>
      </c>
    </row>
    <row r="78" spans="1:25" s="2" customFormat="1" ht="21.75" customHeight="1" x14ac:dyDescent="0.35">
      <c r="A78" s="2">
        <v>10770</v>
      </c>
      <c r="B78" s="43" t="s">
        <v>373</v>
      </c>
      <c r="C78" s="43" t="s">
        <v>285</v>
      </c>
      <c r="D78" s="178">
        <v>877</v>
      </c>
      <c r="E78" s="185">
        <v>384</v>
      </c>
      <c r="F78" s="185">
        <v>91</v>
      </c>
      <c r="G78" s="185">
        <v>8</v>
      </c>
      <c r="H78" s="185">
        <v>10</v>
      </c>
      <c r="I78" s="185">
        <v>1</v>
      </c>
      <c r="J78" s="186">
        <f t="shared" si="14"/>
        <v>1371</v>
      </c>
      <c r="K78" s="194" t="str">
        <f t="shared" si="15"/>
        <v>S</v>
      </c>
      <c r="L78" s="174">
        <v>1</v>
      </c>
      <c r="M78" s="174"/>
      <c r="N78" s="174"/>
      <c r="O78" s="195">
        <f t="shared" si="16"/>
        <v>300000</v>
      </c>
      <c r="P78" s="195">
        <f>25000+25000</f>
        <v>50000</v>
      </c>
      <c r="Q78" s="196">
        <f t="shared" si="7"/>
        <v>16.666666666666668</v>
      </c>
      <c r="V78" s="195">
        <v>25000</v>
      </c>
      <c r="W78" s="195">
        <v>25000</v>
      </c>
      <c r="X78" s="195">
        <f t="shared" si="12"/>
        <v>50000</v>
      </c>
      <c r="Y78" s="196">
        <f t="shared" si="13"/>
        <v>0</v>
      </c>
    </row>
    <row r="79" spans="1:25" s="2" customFormat="1" ht="21.75" customHeight="1" x14ac:dyDescent="0.35">
      <c r="A79" s="2">
        <v>10770</v>
      </c>
      <c r="B79" s="169" t="s">
        <v>493</v>
      </c>
      <c r="C79" s="169" t="s">
        <v>494</v>
      </c>
      <c r="D79" s="177">
        <v>1224</v>
      </c>
      <c r="E79" s="185">
        <v>782</v>
      </c>
      <c r="F79" s="185">
        <v>62</v>
      </c>
      <c r="G79" s="185">
        <v>26</v>
      </c>
      <c r="H79" s="185">
        <v>19</v>
      </c>
      <c r="I79" s="185">
        <v>0</v>
      </c>
      <c r="J79" s="186">
        <f t="shared" si="14"/>
        <v>2113</v>
      </c>
      <c r="K79" s="194" t="str">
        <f t="shared" si="15"/>
        <v>S</v>
      </c>
      <c r="L79" s="174">
        <v>1</v>
      </c>
      <c r="M79" s="174"/>
      <c r="N79" s="174"/>
      <c r="O79" s="195">
        <f t="shared" si="16"/>
        <v>300000</v>
      </c>
      <c r="P79" s="195">
        <f>105202+101377.6</f>
        <v>206579.6</v>
      </c>
      <c r="Q79" s="196">
        <f t="shared" si="7"/>
        <v>68.859866666666662</v>
      </c>
      <c r="V79" s="195">
        <v>101377.60000000001</v>
      </c>
      <c r="W79" s="195">
        <v>105202</v>
      </c>
      <c r="X79" s="195">
        <f t="shared" si="12"/>
        <v>206579.6</v>
      </c>
      <c r="Y79" s="196">
        <f t="shared" si="13"/>
        <v>0</v>
      </c>
    </row>
    <row r="80" spans="1:25" s="2" customFormat="1" ht="21.75" customHeight="1" x14ac:dyDescent="0.35">
      <c r="A80" s="2">
        <v>10770</v>
      </c>
      <c r="B80" s="43" t="s">
        <v>495</v>
      </c>
      <c r="C80" s="43" t="s">
        <v>496</v>
      </c>
      <c r="D80" s="178">
        <v>1403</v>
      </c>
      <c r="E80" s="185">
        <v>248</v>
      </c>
      <c r="F80" s="185">
        <v>30</v>
      </c>
      <c r="G80" s="185">
        <v>17</v>
      </c>
      <c r="H80" s="185">
        <v>10</v>
      </c>
      <c r="I80" s="185">
        <v>0</v>
      </c>
      <c r="J80" s="186">
        <f t="shared" si="14"/>
        <v>1708</v>
      </c>
      <c r="K80" s="194" t="str">
        <f t="shared" si="15"/>
        <v>S</v>
      </c>
      <c r="L80" s="174">
        <v>1</v>
      </c>
      <c r="M80" s="174"/>
      <c r="N80" s="174"/>
      <c r="O80" s="195">
        <f t="shared" si="16"/>
        <v>300000</v>
      </c>
      <c r="P80" s="195">
        <f>25000+25000</f>
        <v>50000</v>
      </c>
      <c r="Q80" s="196">
        <f t="shared" si="7"/>
        <v>16.666666666666668</v>
      </c>
      <c r="V80" s="195">
        <v>25000</v>
      </c>
      <c r="W80" s="195">
        <v>25000</v>
      </c>
      <c r="X80" s="195">
        <f t="shared" si="12"/>
        <v>50000</v>
      </c>
      <c r="Y80" s="196">
        <f t="shared" si="13"/>
        <v>0</v>
      </c>
    </row>
    <row r="81" spans="1:25" s="2" customFormat="1" ht="21.75" customHeight="1" x14ac:dyDescent="0.35">
      <c r="A81" s="2">
        <v>10770</v>
      </c>
      <c r="B81" s="43" t="s">
        <v>497</v>
      </c>
      <c r="C81" s="43" t="s">
        <v>498</v>
      </c>
      <c r="D81" s="178">
        <v>1539</v>
      </c>
      <c r="E81" s="185">
        <v>1227</v>
      </c>
      <c r="F81" s="185">
        <v>260</v>
      </c>
      <c r="G81" s="185">
        <v>63</v>
      </c>
      <c r="H81" s="185">
        <v>54</v>
      </c>
      <c r="I81" s="185">
        <v>0</v>
      </c>
      <c r="J81" s="186">
        <f t="shared" si="14"/>
        <v>3143</v>
      </c>
      <c r="K81" s="194" t="str">
        <f t="shared" si="15"/>
        <v>M</v>
      </c>
      <c r="L81" s="174"/>
      <c r="M81" s="174">
        <v>1</v>
      </c>
      <c r="N81" s="174"/>
      <c r="O81" s="195">
        <f t="shared" si="16"/>
        <v>330000</v>
      </c>
      <c r="P81" s="195">
        <f>25000+25000</f>
        <v>50000</v>
      </c>
      <c r="Q81" s="196">
        <f t="shared" si="7"/>
        <v>15.151515151515152</v>
      </c>
      <c r="V81" s="195">
        <v>25000</v>
      </c>
      <c r="W81" s="195">
        <v>25000</v>
      </c>
      <c r="X81" s="195">
        <f t="shared" si="12"/>
        <v>50000</v>
      </c>
      <c r="Y81" s="196">
        <f t="shared" si="13"/>
        <v>0</v>
      </c>
    </row>
    <row r="82" spans="1:25" s="2" customFormat="1" ht="21.75" customHeight="1" x14ac:dyDescent="0.35">
      <c r="A82" s="2">
        <v>10770</v>
      </c>
      <c r="B82" s="169" t="s">
        <v>499</v>
      </c>
      <c r="C82" s="169" t="s">
        <v>500</v>
      </c>
      <c r="D82" s="177">
        <v>731</v>
      </c>
      <c r="E82" s="185">
        <v>485</v>
      </c>
      <c r="F82" s="185">
        <v>128</v>
      </c>
      <c r="G82" s="185">
        <v>9</v>
      </c>
      <c r="H82" s="185">
        <v>19</v>
      </c>
      <c r="I82" s="185">
        <v>0</v>
      </c>
      <c r="J82" s="186">
        <f t="shared" si="14"/>
        <v>1372</v>
      </c>
      <c r="K82" s="194" t="str">
        <f t="shared" si="15"/>
        <v>S</v>
      </c>
      <c r="L82" s="174">
        <v>1</v>
      </c>
      <c r="M82" s="174"/>
      <c r="N82" s="174"/>
      <c r="O82" s="195">
        <f t="shared" si="16"/>
        <v>300000</v>
      </c>
      <c r="P82" s="195">
        <f>129580+128584</f>
        <v>258164</v>
      </c>
      <c r="Q82" s="196">
        <f t="shared" si="7"/>
        <v>86.054666666666662</v>
      </c>
      <c r="V82" s="195">
        <v>128584</v>
      </c>
      <c r="W82" s="195">
        <v>129580</v>
      </c>
      <c r="X82" s="195">
        <f t="shared" si="12"/>
        <v>258164</v>
      </c>
      <c r="Y82" s="196">
        <f t="shared" si="13"/>
        <v>0</v>
      </c>
    </row>
    <row r="83" spans="1:25" s="2" customFormat="1" ht="21.75" customHeight="1" x14ac:dyDescent="0.35">
      <c r="A83" s="2">
        <v>10770</v>
      </c>
      <c r="B83" s="43" t="s">
        <v>501</v>
      </c>
      <c r="C83" s="43" t="s">
        <v>502</v>
      </c>
      <c r="D83" s="178">
        <v>856</v>
      </c>
      <c r="E83" s="185">
        <v>522</v>
      </c>
      <c r="F83" s="185">
        <v>90</v>
      </c>
      <c r="G83" s="185">
        <v>11</v>
      </c>
      <c r="H83" s="185">
        <v>25</v>
      </c>
      <c r="I83" s="185">
        <v>0</v>
      </c>
      <c r="J83" s="186">
        <f t="shared" si="14"/>
        <v>1504</v>
      </c>
      <c r="K83" s="194" t="str">
        <f t="shared" si="15"/>
        <v>S</v>
      </c>
      <c r="L83" s="174">
        <v>1</v>
      </c>
      <c r="M83" s="174"/>
      <c r="N83" s="174"/>
      <c r="O83" s="195">
        <f t="shared" si="16"/>
        <v>300000</v>
      </c>
      <c r="P83" s="195">
        <f>25000+25000</f>
        <v>50000</v>
      </c>
      <c r="Q83" s="196">
        <f t="shared" si="7"/>
        <v>16.666666666666668</v>
      </c>
      <c r="V83" s="195">
        <v>25000</v>
      </c>
      <c r="W83" s="195">
        <v>25000</v>
      </c>
      <c r="X83" s="195">
        <f t="shared" si="12"/>
        <v>50000</v>
      </c>
      <c r="Y83" s="196">
        <f t="shared" si="13"/>
        <v>0</v>
      </c>
    </row>
    <row r="84" spans="1:25" s="2" customFormat="1" ht="21.75" customHeight="1" x14ac:dyDescent="0.35">
      <c r="A84" s="2">
        <v>10770</v>
      </c>
      <c r="B84" s="169" t="s">
        <v>374</v>
      </c>
      <c r="C84" s="169" t="s">
        <v>375</v>
      </c>
      <c r="D84" s="177">
        <v>1516</v>
      </c>
      <c r="E84" s="185">
        <v>623</v>
      </c>
      <c r="F84" s="185">
        <v>215</v>
      </c>
      <c r="G84" s="185">
        <v>21</v>
      </c>
      <c r="H84" s="185">
        <v>16</v>
      </c>
      <c r="I84" s="185">
        <v>2</v>
      </c>
      <c r="J84" s="186">
        <f t="shared" si="14"/>
        <v>2393</v>
      </c>
      <c r="K84" s="194" t="str">
        <f t="shared" si="15"/>
        <v>S</v>
      </c>
      <c r="L84" s="174">
        <v>1</v>
      </c>
      <c r="M84" s="174"/>
      <c r="N84" s="174"/>
      <c r="O84" s="195">
        <f t="shared" si="16"/>
        <v>300000</v>
      </c>
      <c r="P84" s="195">
        <f>25000+25000</f>
        <v>50000</v>
      </c>
      <c r="Q84" s="196">
        <f t="shared" si="7"/>
        <v>16.666666666666668</v>
      </c>
      <c r="V84" s="195">
        <v>25000</v>
      </c>
      <c r="W84" s="195">
        <v>25000</v>
      </c>
      <c r="X84" s="195">
        <f t="shared" si="12"/>
        <v>50000</v>
      </c>
      <c r="Y84" s="196">
        <f t="shared" si="13"/>
        <v>0</v>
      </c>
    </row>
    <row r="85" spans="1:25" s="2" customFormat="1" ht="21.75" customHeight="1" x14ac:dyDescent="0.35">
      <c r="A85" s="2">
        <v>10771</v>
      </c>
      <c r="B85" s="169" t="s">
        <v>505</v>
      </c>
      <c r="C85" s="169" t="s">
        <v>506</v>
      </c>
      <c r="D85" s="177">
        <v>528</v>
      </c>
      <c r="E85" s="185">
        <v>298</v>
      </c>
      <c r="F85" s="185">
        <v>138</v>
      </c>
      <c r="G85" s="185">
        <v>11</v>
      </c>
      <c r="H85" s="185">
        <v>19</v>
      </c>
      <c r="I85" s="185">
        <v>1</v>
      </c>
      <c r="J85" s="186">
        <f t="shared" si="14"/>
        <v>995</v>
      </c>
      <c r="K85" s="194" t="str">
        <f t="shared" si="15"/>
        <v>S</v>
      </c>
      <c r="L85" s="174">
        <v>1</v>
      </c>
      <c r="M85" s="174"/>
      <c r="N85" s="174"/>
      <c r="O85" s="195">
        <f t="shared" si="16"/>
        <v>300000</v>
      </c>
      <c r="P85" s="195">
        <f>50000+50000+45000</f>
        <v>145000</v>
      </c>
      <c r="Q85" s="196">
        <f>+P85*100/O85</f>
        <v>48.333333333333336</v>
      </c>
      <c r="U85" s="95">
        <v>45000</v>
      </c>
      <c r="V85" s="95">
        <v>50000</v>
      </c>
      <c r="W85" s="95">
        <v>50000</v>
      </c>
      <c r="X85" s="195">
        <f>SUBTOTAL(9,U85:W85)</f>
        <v>145000</v>
      </c>
      <c r="Y85" s="196">
        <f t="shared" si="13"/>
        <v>0</v>
      </c>
    </row>
    <row r="86" spans="1:25" s="2" customFormat="1" ht="21.75" customHeight="1" x14ac:dyDescent="0.35">
      <c r="A86" s="2">
        <v>10771</v>
      </c>
      <c r="B86" s="43" t="s">
        <v>507</v>
      </c>
      <c r="C86" s="43" t="s">
        <v>508</v>
      </c>
      <c r="D86" s="178">
        <v>1058</v>
      </c>
      <c r="E86" s="185">
        <v>390</v>
      </c>
      <c r="F86" s="185">
        <v>183</v>
      </c>
      <c r="G86" s="185">
        <v>6</v>
      </c>
      <c r="H86" s="185">
        <v>21</v>
      </c>
      <c r="I86" s="185">
        <v>1</v>
      </c>
      <c r="J86" s="186">
        <f t="shared" si="14"/>
        <v>1659</v>
      </c>
      <c r="K86" s="194" t="str">
        <f t="shared" si="15"/>
        <v>S</v>
      </c>
      <c r="L86" s="174">
        <v>1</v>
      </c>
      <c r="M86" s="174"/>
      <c r="N86" s="174"/>
      <c r="O86" s="195">
        <f t="shared" si="16"/>
        <v>300000</v>
      </c>
      <c r="P86" s="195">
        <f>50000+50000+152000</f>
        <v>252000</v>
      </c>
      <c r="Q86" s="196">
        <f t="shared" ref="Q86:Q99" si="17">+P86*100/O86</f>
        <v>84</v>
      </c>
      <c r="U86" s="95">
        <v>152000</v>
      </c>
      <c r="V86" s="95">
        <v>50000</v>
      </c>
      <c r="W86" s="95">
        <v>50000</v>
      </c>
      <c r="X86" s="195">
        <f t="shared" ref="X86:X99" si="18">SUBTOTAL(9,U86:W86)</f>
        <v>252000</v>
      </c>
      <c r="Y86" s="196">
        <f t="shared" si="13"/>
        <v>0</v>
      </c>
    </row>
    <row r="87" spans="1:25" s="2" customFormat="1" ht="21.75" customHeight="1" x14ac:dyDescent="0.35">
      <c r="A87" s="2">
        <v>10771</v>
      </c>
      <c r="B87" s="169" t="s">
        <v>306</v>
      </c>
      <c r="C87" s="169" t="s">
        <v>307</v>
      </c>
      <c r="D87" s="177">
        <v>1569</v>
      </c>
      <c r="E87" s="185">
        <v>558</v>
      </c>
      <c r="F87" s="185">
        <v>368</v>
      </c>
      <c r="G87" s="185">
        <v>27</v>
      </c>
      <c r="H87" s="185">
        <v>45</v>
      </c>
      <c r="I87" s="185">
        <v>0</v>
      </c>
      <c r="J87" s="186">
        <f t="shared" si="14"/>
        <v>2567</v>
      </c>
      <c r="K87" s="194" t="str">
        <f t="shared" si="15"/>
        <v>S</v>
      </c>
      <c r="L87" s="174">
        <v>1</v>
      </c>
      <c r="M87" s="174"/>
      <c r="N87" s="174"/>
      <c r="O87" s="195">
        <f t="shared" si="16"/>
        <v>300000</v>
      </c>
      <c r="P87" s="195">
        <f>50000+50000+87000</f>
        <v>187000</v>
      </c>
      <c r="Q87" s="196">
        <f t="shared" si="17"/>
        <v>62.333333333333336</v>
      </c>
      <c r="U87" s="95">
        <v>87000</v>
      </c>
      <c r="V87" s="95">
        <v>50000</v>
      </c>
      <c r="W87" s="95">
        <v>50000</v>
      </c>
      <c r="X87" s="195">
        <f t="shared" si="18"/>
        <v>187000</v>
      </c>
      <c r="Y87" s="196">
        <f t="shared" si="13"/>
        <v>0</v>
      </c>
    </row>
    <row r="88" spans="1:25" s="2" customFormat="1" ht="21.75" customHeight="1" x14ac:dyDescent="0.35">
      <c r="A88" s="2">
        <v>10771</v>
      </c>
      <c r="B88" s="169" t="s">
        <v>509</v>
      </c>
      <c r="C88" s="169" t="s">
        <v>510</v>
      </c>
      <c r="D88" s="177">
        <v>3155</v>
      </c>
      <c r="E88" s="185">
        <v>1089</v>
      </c>
      <c r="F88" s="185">
        <v>447</v>
      </c>
      <c r="G88" s="185">
        <v>61</v>
      </c>
      <c r="H88" s="185">
        <v>57</v>
      </c>
      <c r="I88" s="185">
        <v>1</v>
      </c>
      <c r="J88" s="186">
        <f t="shared" si="14"/>
        <v>4810</v>
      </c>
      <c r="K88" s="194" t="str">
        <f t="shared" si="15"/>
        <v>M</v>
      </c>
      <c r="L88" s="174"/>
      <c r="M88" s="174">
        <v>1</v>
      </c>
      <c r="N88" s="174"/>
      <c r="O88" s="195">
        <f t="shared" si="16"/>
        <v>330000</v>
      </c>
      <c r="P88" s="195">
        <f>50000+50000+130000</f>
        <v>230000</v>
      </c>
      <c r="Q88" s="196">
        <f t="shared" si="17"/>
        <v>69.696969696969703</v>
      </c>
      <c r="U88" s="95">
        <v>130000</v>
      </c>
      <c r="V88" s="95">
        <v>50000</v>
      </c>
      <c r="W88" s="95">
        <v>50000</v>
      </c>
      <c r="X88" s="195">
        <f t="shared" si="18"/>
        <v>230000</v>
      </c>
      <c r="Y88" s="196">
        <f t="shared" si="13"/>
        <v>0</v>
      </c>
    </row>
    <row r="89" spans="1:25" s="2" customFormat="1" ht="21.75" customHeight="1" x14ac:dyDescent="0.35">
      <c r="A89" s="2">
        <v>10771</v>
      </c>
      <c r="B89" s="43" t="s">
        <v>511</v>
      </c>
      <c r="C89" s="43" t="s">
        <v>512</v>
      </c>
      <c r="D89" s="178">
        <v>1414</v>
      </c>
      <c r="E89" s="185">
        <v>573</v>
      </c>
      <c r="F89" s="185">
        <v>304</v>
      </c>
      <c r="G89" s="185">
        <v>16</v>
      </c>
      <c r="H89" s="185">
        <v>33</v>
      </c>
      <c r="I89" s="185">
        <v>0</v>
      </c>
      <c r="J89" s="186">
        <f t="shared" si="14"/>
        <v>2340</v>
      </c>
      <c r="K89" s="194" t="str">
        <f t="shared" si="15"/>
        <v>S</v>
      </c>
      <c r="L89" s="174">
        <v>1</v>
      </c>
      <c r="M89" s="174"/>
      <c r="N89" s="174"/>
      <c r="O89" s="195">
        <f t="shared" si="16"/>
        <v>300000</v>
      </c>
      <c r="P89" s="195">
        <f>50000+50000+99000</f>
        <v>199000</v>
      </c>
      <c r="Q89" s="196">
        <f t="shared" si="17"/>
        <v>66.333333333333329</v>
      </c>
      <c r="U89" s="95">
        <v>99000</v>
      </c>
      <c r="V89" s="95">
        <v>50000</v>
      </c>
      <c r="W89" s="95">
        <v>50000</v>
      </c>
      <c r="X89" s="195">
        <f t="shared" si="18"/>
        <v>199000</v>
      </c>
      <c r="Y89" s="196">
        <f t="shared" si="13"/>
        <v>0</v>
      </c>
    </row>
    <row r="90" spans="1:25" s="2" customFormat="1" ht="21.75" customHeight="1" x14ac:dyDescent="0.35">
      <c r="A90" s="2">
        <v>10771</v>
      </c>
      <c r="B90" s="169" t="s">
        <v>513</v>
      </c>
      <c r="C90" s="169" t="s">
        <v>514</v>
      </c>
      <c r="D90" s="177">
        <v>1179</v>
      </c>
      <c r="E90" s="185">
        <v>607</v>
      </c>
      <c r="F90" s="185">
        <v>142</v>
      </c>
      <c r="G90" s="185">
        <v>18</v>
      </c>
      <c r="H90" s="185">
        <v>15</v>
      </c>
      <c r="I90" s="185">
        <v>3</v>
      </c>
      <c r="J90" s="186">
        <f t="shared" si="14"/>
        <v>1964</v>
      </c>
      <c r="K90" s="194" t="str">
        <f t="shared" si="15"/>
        <v>S</v>
      </c>
      <c r="L90" s="174">
        <v>1</v>
      </c>
      <c r="M90" s="174"/>
      <c r="N90" s="174"/>
      <c r="O90" s="195">
        <f t="shared" si="16"/>
        <v>300000</v>
      </c>
      <c r="P90" s="195">
        <f>50000+50000+130000</f>
        <v>230000</v>
      </c>
      <c r="Q90" s="196">
        <f t="shared" si="17"/>
        <v>76.666666666666671</v>
      </c>
      <c r="U90" s="95">
        <v>130000</v>
      </c>
      <c r="V90" s="95">
        <v>50000</v>
      </c>
      <c r="W90" s="95">
        <v>50000</v>
      </c>
      <c r="X90" s="195">
        <f t="shared" si="18"/>
        <v>230000</v>
      </c>
      <c r="Y90" s="196">
        <f t="shared" si="13"/>
        <v>0</v>
      </c>
    </row>
    <row r="91" spans="1:25" s="2" customFormat="1" ht="21.75" customHeight="1" x14ac:dyDescent="0.35">
      <c r="A91" s="2">
        <v>10771</v>
      </c>
      <c r="B91" s="43" t="s">
        <v>376</v>
      </c>
      <c r="C91" s="43" t="s">
        <v>377</v>
      </c>
      <c r="D91" s="178">
        <v>2518</v>
      </c>
      <c r="E91" s="185">
        <v>989</v>
      </c>
      <c r="F91" s="185">
        <v>332</v>
      </c>
      <c r="G91" s="185">
        <v>42</v>
      </c>
      <c r="H91" s="185">
        <v>53</v>
      </c>
      <c r="I91" s="185">
        <v>4</v>
      </c>
      <c r="J91" s="186">
        <f t="shared" si="14"/>
        <v>3938</v>
      </c>
      <c r="K91" s="194" t="str">
        <f t="shared" si="15"/>
        <v>M</v>
      </c>
      <c r="L91" s="174"/>
      <c r="M91" s="174">
        <v>1</v>
      </c>
      <c r="N91" s="174"/>
      <c r="O91" s="195">
        <f t="shared" si="16"/>
        <v>330000</v>
      </c>
      <c r="P91" s="195">
        <f>50000+50000+118000</f>
        <v>218000</v>
      </c>
      <c r="Q91" s="196">
        <f t="shared" si="17"/>
        <v>66.060606060606062</v>
      </c>
      <c r="U91" s="95">
        <v>118000</v>
      </c>
      <c r="V91" s="95">
        <v>50000</v>
      </c>
      <c r="W91" s="95">
        <v>50000</v>
      </c>
      <c r="X91" s="195">
        <f t="shared" si="18"/>
        <v>218000</v>
      </c>
      <c r="Y91" s="196">
        <f t="shared" si="13"/>
        <v>0</v>
      </c>
    </row>
    <row r="92" spans="1:25" s="2" customFormat="1" ht="21.75" customHeight="1" x14ac:dyDescent="0.35">
      <c r="A92" s="2">
        <v>10771</v>
      </c>
      <c r="B92" s="169" t="s">
        <v>378</v>
      </c>
      <c r="C92" s="169" t="s">
        <v>379</v>
      </c>
      <c r="D92" s="177">
        <v>1357</v>
      </c>
      <c r="E92" s="185">
        <v>637</v>
      </c>
      <c r="F92" s="185">
        <v>153</v>
      </c>
      <c r="G92" s="185">
        <v>21</v>
      </c>
      <c r="H92" s="185">
        <v>35</v>
      </c>
      <c r="I92" s="185">
        <v>0</v>
      </c>
      <c r="J92" s="186">
        <f t="shared" si="14"/>
        <v>2203</v>
      </c>
      <c r="K92" s="194" t="str">
        <f t="shared" si="15"/>
        <v>S</v>
      </c>
      <c r="L92" s="174">
        <v>1</v>
      </c>
      <c r="M92" s="174"/>
      <c r="N92" s="174"/>
      <c r="O92" s="195">
        <f t="shared" si="16"/>
        <v>300000</v>
      </c>
      <c r="P92" s="195">
        <f>50000+50000+76000</f>
        <v>176000</v>
      </c>
      <c r="Q92" s="196">
        <f t="shared" si="17"/>
        <v>58.666666666666664</v>
      </c>
      <c r="U92" s="95">
        <v>76000</v>
      </c>
      <c r="V92" s="95">
        <v>50000</v>
      </c>
      <c r="W92" s="95">
        <v>50000</v>
      </c>
      <c r="X92" s="195">
        <f t="shared" si="18"/>
        <v>176000</v>
      </c>
      <c r="Y92" s="196">
        <f t="shared" si="13"/>
        <v>0</v>
      </c>
    </row>
    <row r="93" spans="1:25" s="2" customFormat="1" ht="21.75" customHeight="1" x14ac:dyDescent="0.35">
      <c r="A93" s="2">
        <v>10771</v>
      </c>
      <c r="B93" s="43" t="s">
        <v>380</v>
      </c>
      <c r="C93" s="43" t="s">
        <v>381</v>
      </c>
      <c r="D93" s="178">
        <v>585</v>
      </c>
      <c r="E93" s="185">
        <v>277</v>
      </c>
      <c r="F93" s="185">
        <v>101</v>
      </c>
      <c r="G93" s="185">
        <v>12</v>
      </c>
      <c r="H93" s="185">
        <v>12</v>
      </c>
      <c r="I93" s="185">
        <v>0</v>
      </c>
      <c r="J93" s="186">
        <f t="shared" si="14"/>
        <v>987</v>
      </c>
      <c r="K93" s="194" t="str">
        <f t="shared" si="15"/>
        <v>S</v>
      </c>
      <c r="L93" s="174">
        <v>1</v>
      </c>
      <c r="M93" s="174"/>
      <c r="N93" s="174"/>
      <c r="O93" s="195">
        <f t="shared" si="16"/>
        <v>300000</v>
      </c>
      <c r="P93" s="195">
        <f>50000+50000+39000</f>
        <v>139000</v>
      </c>
      <c r="Q93" s="196">
        <f t="shared" si="17"/>
        <v>46.333333333333336</v>
      </c>
      <c r="U93" s="95">
        <v>39000</v>
      </c>
      <c r="V93" s="95">
        <v>50000</v>
      </c>
      <c r="W93" s="95">
        <v>50000</v>
      </c>
      <c r="X93" s="195">
        <f t="shared" si="18"/>
        <v>139000</v>
      </c>
      <c r="Y93" s="196">
        <f t="shared" si="13"/>
        <v>0</v>
      </c>
    </row>
    <row r="94" spans="1:25" s="2" customFormat="1" ht="21.75" customHeight="1" x14ac:dyDescent="0.35">
      <c r="A94" s="2">
        <v>10771</v>
      </c>
      <c r="B94" s="169" t="s">
        <v>515</v>
      </c>
      <c r="C94" s="169" t="s">
        <v>516</v>
      </c>
      <c r="D94" s="177">
        <v>821</v>
      </c>
      <c r="E94" s="185">
        <v>415</v>
      </c>
      <c r="F94" s="185">
        <v>164</v>
      </c>
      <c r="G94" s="185">
        <v>4</v>
      </c>
      <c r="H94" s="185">
        <v>16</v>
      </c>
      <c r="I94" s="185">
        <v>0</v>
      </c>
      <c r="J94" s="186">
        <f t="shared" si="14"/>
        <v>1420</v>
      </c>
      <c r="K94" s="194" t="str">
        <f t="shared" si="15"/>
        <v>S</v>
      </c>
      <c r="L94" s="174">
        <v>1</v>
      </c>
      <c r="M94" s="174"/>
      <c r="N94" s="174"/>
      <c r="O94" s="195">
        <f t="shared" si="16"/>
        <v>300000</v>
      </c>
      <c r="P94" s="195">
        <f>50000+50000+100000</f>
        <v>200000</v>
      </c>
      <c r="Q94" s="196">
        <f t="shared" si="17"/>
        <v>66.666666666666671</v>
      </c>
      <c r="U94" s="95">
        <v>100000</v>
      </c>
      <c r="V94" s="95">
        <v>50000</v>
      </c>
      <c r="W94" s="95">
        <v>50000</v>
      </c>
      <c r="X94" s="195">
        <f t="shared" si="18"/>
        <v>200000</v>
      </c>
      <c r="Y94" s="196">
        <f t="shared" si="13"/>
        <v>0</v>
      </c>
    </row>
    <row r="95" spans="1:25" s="2" customFormat="1" ht="21.75" customHeight="1" x14ac:dyDescent="0.35">
      <c r="A95" s="2">
        <v>10771</v>
      </c>
      <c r="B95" s="43" t="s">
        <v>517</v>
      </c>
      <c r="C95" s="43" t="s">
        <v>518</v>
      </c>
      <c r="D95" s="178">
        <v>468</v>
      </c>
      <c r="E95" s="185">
        <v>237</v>
      </c>
      <c r="F95" s="185">
        <v>119</v>
      </c>
      <c r="G95" s="185">
        <v>7</v>
      </c>
      <c r="H95" s="185">
        <v>21</v>
      </c>
      <c r="I95" s="185">
        <v>0</v>
      </c>
      <c r="J95" s="186">
        <f t="shared" si="14"/>
        <v>852</v>
      </c>
      <c r="K95" s="194" t="str">
        <f t="shared" si="15"/>
        <v>S</v>
      </c>
      <c r="L95" s="174">
        <v>1</v>
      </c>
      <c r="M95" s="174"/>
      <c r="N95" s="174"/>
      <c r="O95" s="195">
        <f t="shared" si="16"/>
        <v>300000</v>
      </c>
      <c r="P95" s="195">
        <f>50000+50000+106000</f>
        <v>206000</v>
      </c>
      <c r="Q95" s="196">
        <f t="shared" si="17"/>
        <v>68.666666666666671</v>
      </c>
      <c r="U95" s="95">
        <v>106000</v>
      </c>
      <c r="V95" s="95">
        <v>50000</v>
      </c>
      <c r="W95" s="95">
        <v>50000</v>
      </c>
      <c r="X95" s="195">
        <f t="shared" si="18"/>
        <v>206000</v>
      </c>
      <c r="Y95" s="196">
        <f t="shared" si="13"/>
        <v>0</v>
      </c>
    </row>
    <row r="96" spans="1:25" s="2" customFormat="1" ht="21.75" customHeight="1" x14ac:dyDescent="0.35">
      <c r="A96" s="2">
        <v>10771</v>
      </c>
      <c r="B96" s="169" t="s">
        <v>519</v>
      </c>
      <c r="C96" s="169" t="s">
        <v>520</v>
      </c>
      <c r="D96" s="177">
        <v>371</v>
      </c>
      <c r="E96" s="185">
        <v>194</v>
      </c>
      <c r="F96" s="185">
        <v>70</v>
      </c>
      <c r="G96" s="185">
        <v>12</v>
      </c>
      <c r="H96" s="185">
        <v>5</v>
      </c>
      <c r="I96" s="185">
        <v>0</v>
      </c>
      <c r="J96" s="186">
        <f t="shared" si="14"/>
        <v>652</v>
      </c>
      <c r="K96" s="194" t="str">
        <f t="shared" si="15"/>
        <v>S</v>
      </c>
      <c r="L96" s="174">
        <v>1</v>
      </c>
      <c r="M96" s="174"/>
      <c r="N96" s="174"/>
      <c r="O96" s="195">
        <f t="shared" si="16"/>
        <v>300000</v>
      </c>
      <c r="P96" s="195">
        <f>50000+50000+106000</f>
        <v>206000</v>
      </c>
      <c r="Q96" s="196">
        <f t="shared" si="17"/>
        <v>68.666666666666671</v>
      </c>
      <c r="U96" s="95">
        <v>106000</v>
      </c>
      <c r="V96" s="95">
        <v>50000</v>
      </c>
      <c r="W96" s="95">
        <v>50000</v>
      </c>
      <c r="X96" s="195">
        <f t="shared" si="18"/>
        <v>206000</v>
      </c>
      <c r="Y96" s="196">
        <f t="shared" si="13"/>
        <v>0</v>
      </c>
    </row>
    <row r="97" spans="1:25" s="2" customFormat="1" ht="21.75" customHeight="1" x14ac:dyDescent="0.35">
      <c r="A97" s="2">
        <v>10771</v>
      </c>
      <c r="B97" s="43" t="s">
        <v>521</v>
      </c>
      <c r="C97" s="43" t="s">
        <v>522</v>
      </c>
      <c r="D97" s="178">
        <v>696</v>
      </c>
      <c r="E97" s="185">
        <v>387</v>
      </c>
      <c r="F97" s="185">
        <v>121</v>
      </c>
      <c r="G97" s="185">
        <v>13</v>
      </c>
      <c r="H97" s="185">
        <v>25</v>
      </c>
      <c r="I97" s="185">
        <v>0</v>
      </c>
      <c r="J97" s="186">
        <f t="shared" si="14"/>
        <v>1242</v>
      </c>
      <c r="K97" s="194" t="str">
        <f t="shared" si="15"/>
        <v>S</v>
      </c>
      <c r="L97" s="174">
        <v>1</v>
      </c>
      <c r="M97" s="174"/>
      <c r="N97" s="174"/>
      <c r="O97" s="195">
        <f t="shared" si="16"/>
        <v>300000</v>
      </c>
      <c r="P97" s="195">
        <f>50000+50000+106000</f>
        <v>206000</v>
      </c>
      <c r="Q97" s="196">
        <f t="shared" si="17"/>
        <v>68.666666666666671</v>
      </c>
      <c r="U97" s="95">
        <v>106000</v>
      </c>
      <c r="V97" s="95">
        <v>50000</v>
      </c>
      <c r="W97" s="95">
        <v>50000</v>
      </c>
      <c r="X97" s="195">
        <f t="shared" si="18"/>
        <v>206000</v>
      </c>
      <c r="Y97" s="196">
        <f t="shared" si="13"/>
        <v>0</v>
      </c>
    </row>
    <row r="98" spans="1:25" s="2" customFormat="1" ht="21.75" customHeight="1" x14ac:dyDescent="0.35">
      <c r="A98" s="2">
        <v>10771</v>
      </c>
      <c r="B98" s="169" t="s">
        <v>523</v>
      </c>
      <c r="C98" s="169" t="s">
        <v>524</v>
      </c>
      <c r="D98" s="177">
        <v>1021</v>
      </c>
      <c r="E98" s="185">
        <v>489</v>
      </c>
      <c r="F98" s="185">
        <v>196</v>
      </c>
      <c r="G98" s="185">
        <v>16</v>
      </c>
      <c r="H98" s="185">
        <v>25</v>
      </c>
      <c r="I98" s="185">
        <v>0</v>
      </c>
      <c r="J98" s="186">
        <f t="shared" si="14"/>
        <v>1747</v>
      </c>
      <c r="K98" s="194" t="str">
        <f t="shared" si="15"/>
        <v>S</v>
      </c>
      <c r="L98" s="174">
        <v>1</v>
      </c>
      <c r="M98" s="174"/>
      <c r="N98" s="174"/>
      <c r="O98" s="195">
        <f t="shared" si="16"/>
        <v>300000</v>
      </c>
      <c r="P98" s="195">
        <f>50000+50000+100000</f>
        <v>200000</v>
      </c>
      <c r="Q98" s="196">
        <f t="shared" si="17"/>
        <v>66.666666666666671</v>
      </c>
      <c r="U98" s="95">
        <v>100000</v>
      </c>
      <c r="V98" s="95">
        <v>50000</v>
      </c>
      <c r="W98" s="95">
        <v>50000</v>
      </c>
      <c r="X98" s="195">
        <f t="shared" si="18"/>
        <v>200000</v>
      </c>
      <c r="Y98" s="196">
        <f t="shared" si="13"/>
        <v>0</v>
      </c>
    </row>
    <row r="99" spans="1:25" s="2" customFormat="1" ht="21.75" customHeight="1" x14ac:dyDescent="0.35">
      <c r="A99" s="2">
        <v>10771</v>
      </c>
      <c r="B99" s="43" t="s">
        <v>308</v>
      </c>
      <c r="C99" s="43" t="s">
        <v>309</v>
      </c>
      <c r="D99" s="178">
        <v>2092</v>
      </c>
      <c r="E99" s="185">
        <v>934</v>
      </c>
      <c r="F99" s="185">
        <v>443</v>
      </c>
      <c r="G99" s="185">
        <v>18</v>
      </c>
      <c r="H99" s="185">
        <v>49</v>
      </c>
      <c r="I99" s="185">
        <v>1</v>
      </c>
      <c r="J99" s="186">
        <f t="shared" si="14"/>
        <v>3537</v>
      </c>
      <c r="K99" s="194" t="str">
        <f t="shared" si="15"/>
        <v>M</v>
      </c>
      <c r="L99" s="174"/>
      <c r="M99" s="174">
        <v>1</v>
      </c>
      <c r="N99" s="174"/>
      <c r="O99" s="195">
        <f t="shared" si="16"/>
        <v>330000</v>
      </c>
      <c r="P99" s="195">
        <f>50000+50000+186000</f>
        <v>286000</v>
      </c>
      <c r="Q99" s="196">
        <f t="shared" si="17"/>
        <v>86.666666666666671</v>
      </c>
      <c r="U99" s="95">
        <v>186000</v>
      </c>
      <c r="V99" s="95">
        <v>50000</v>
      </c>
      <c r="W99" s="95">
        <v>50000</v>
      </c>
      <c r="X99" s="195">
        <f t="shared" si="18"/>
        <v>286000</v>
      </c>
      <c r="Y99" s="196">
        <f t="shared" si="13"/>
        <v>0</v>
      </c>
    </row>
    <row r="100" spans="1:25" s="2" customFormat="1" ht="21.75" customHeight="1" x14ac:dyDescent="0.35">
      <c r="A100" s="2">
        <v>10772</v>
      </c>
      <c r="B100" s="43" t="s">
        <v>527</v>
      </c>
      <c r="C100" s="43" t="s">
        <v>528</v>
      </c>
      <c r="D100" s="178">
        <v>2026</v>
      </c>
      <c r="E100" s="185">
        <v>0</v>
      </c>
      <c r="F100" s="185">
        <v>0</v>
      </c>
      <c r="G100" s="185">
        <v>0</v>
      </c>
      <c r="H100" s="185">
        <v>3</v>
      </c>
      <c r="I100" s="185">
        <v>0</v>
      </c>
      <c r="J100" s="186">
        <f t="shared" si="14"/>
        <v>2029</v>
      </c>
      <c r="K100" s="194" t="str">
        <f t="shared" si="15"/>
        <v>S</v>
      </c>
      <c r="L100" s="174">
        <v>1</v>
      </c>
      <c r="M100" s="174"/>
      <c r="N100" s="174"/>
      <c r="O100" s="195">
        <f t="shared" si="16"/>
        <v>300000</v>
      </c>
      <c r="P100" s="195">
        <f>250000+250000</f>
        <v>500000</v>
      </c>
      <c r="Q100" s="196">
        <f>+P100*100/O100</f>
        <v>166.66666666666666</v>
      </c>
      <c r="U100" s="195"/>
      <c r="V100" s="195">
        <v>250000</v>
      </c>
      <c r="W100" s="195">
        <v>250000</v>
      </c>
      <c r="X100" s="195">
        <f>SUBTOTAL(9,V100:W100)</f>
        <v>500000</v>
      </c>
      <c r="Y100" s="196">
        <f t="shared" si="13"/>
        <v>0</v>
      </c>
    </row>
    <row r="101" spans="1:25" s="2" customFormat="1" ht="21.75" customHeight="1" x14ac:dyDescent="0.35">
      <c r="A101" s="2">
        <v>10772</v>
      </c>
      <c r="B101" s="43" t="s">
        <v>529</v>
      </c>
      <c r="C101" s="43" t="s">
        <v>502</v>
      </c>
      <c r="D101" s="178">
        <v>9921</v>
      </c>
      <c r="E101" s="185">
        <v>4730</v>
      </c>
      <c r="F101" s="185">
        <v>869</v>
      </c>
      <c r="G101" s="185">
        <v>148</v>
      </c>
      <c r="H101" s="185">
        <v>214</v>
      </c>
      <c r="I101" s="185">
        <v>11</v>
      </c>
      <c r="J101" s="186">
        <f t="shared" si="14"/>
        <v>15893</v>
      </c>
      <c r="K101" s="194" t="str">
        <f t="shared" si="15"/>
        <v>L</v>
      </c>
      <c r="L101" s="174"/>
      <c r="M101" s="174"/>
      <c r="N101" s="174">
        <v>1</v>
      </c>
      <c r="O101" s="195">
        <f t="shared" si="16"/>
        <v>360000</v>
      </c>
      <c r="P101" s="195">
        <f>620000+500000</f>
        <v>1120000</v>
      </c>
      <c r="Q101" s="196">
        <f t="shared" ref="Q101:Q135" si="19">+P101*100/O101</f>
        <v>311.11111111111109</v>
      </c>
      <c r="U101" s="195"/>
      <c r="V101" s="195">
        <v>500000</v>
      </c>
      <c r="W101" s="195">
        <v>620000</v>
      </c>
      <c r="X101" s="195">
        <f t="shared" ref="X101:X135" si="20">SUBTOTAL(9,V101:W101)</f>
        <v>1120000</v>
      </c>
      <c r="Y101" s="196">
        <f t="shared" si="13"/>
        <v>0</v>
      </c>
    </row>
    <row r="102" spans="1:25" s="2" customFormat="1" ht="21.75" customHeight="1" x14ac:dyDescent="0.35">
      <c r="A102" s="2">
        <v>10772</v>
      </c>
      <c r="B102" s="169" t="s">
        <v>530</v>
      </c>
      <c r="C102" s="169" t="s">
        <v>531</v>
      </c>
      <c r="D102" s="177">
        <v>1580</v>
      </c>
      <c r="E102" s="185">
        <v>943</v>
      </c>
      <c r="F102" s="185">
        <v>268</v>
      </c>
      <c r="G102" s="185">
        <v>22</v>
      </c>
      <c r="H102" s="185">
        <v>53</v>
      </c>
      <c r="I102" s="185">
        <v>0</v>
      </c>
      <c r="J102" s="186">
        <f t="shared" si="14"/>
        <v>2866</v>
      </c>
      <c r="K102" s="194" t="str">
        <f t="shared" si="15"/>
        <v>S</v>
      </c>
      <c r="L102" s="174">
        <v>1</v>
      </c>
      <c r="M102" s="174"/>
      <c r="N102" s="174"/>
      <c r="O102" s="195">
        <f t="shared" si="16"/>
        <v>300000</v>
      </c>
      <c r="P102" s="195">
        <f>200000+150000</f>
        <v>350000</v>
      </c>
      <c r="Q102" s="196">
        <f t="shared" si="19"/>
        <v>116.66666666666667</v>
      </c>
      <c r="U102" s="195"/>
      <c r="V102" s="195">
        <v>150000</v>
      </c>
      <c r="W102" s="195">
        <v>200000</v>
      </c>
      <c r="X102" s="195">
        <f t="shared" si="20"/>
        <v>350000</v>
      </c>
      <c r="Y102" s="196">
        <f t="shared" si="13"/>
        <v>0</v>
      </c>
    </row>
    <row r="103" spans="1:25" s="2" customFormat="1" ht="21.75" customHeight="1" x14ac:dyDescent="0.35">
      <c r="A103" s="2">
        <v>10772</v>
      </c>
      <c r="B103" s="43" t="s">
        <v>310</v>
      </c>
      <c r="C103" s="43" t="s">
        <v>311</v>
      </c>
      <c r="D103" s="178">
        <v>2717</v>
      </c>
      <c r="E103" s="185">
        <v>62</v>
      </c>
      <c r="F103" s="185">
        <v>7</v>
      </c>
      <c r="G103" s="185">
        <v>4</v>
      </c>
      <c r="H103" s="185">
        <v>2</v>
      </c>
      <c r="I103" s="185">
        <v>0</v>
      </c>
      <c r="J103" s="186">
        <f t="shared" si="14"/>
        <v>2792</v>
      </c>
      <c r="K103" s="194" t="str">
        <f t="shared" si="15"/>
        <v>S</v>
      </c>
      <c r="L103" s="174">
        <v>1</v>
      </c>
      <c r="M103" s="174"/>
      <c r="N103" s="174"/>
      <c r="O103" s="195">
        <f t="shared" si="16"/>
        <v>300000</v>
      </c>
      <c r="P103" s="195">
        <f>50000+50000</f>
        <v>100000</v>
      </c>
      <c r="Q103" s="196">
        <f t="shared" si="19"/>
        <v>33.333333333333336</v>
      </c>
      <c r="U103" s="195"/>
      <c r="V103" s="195">
        <v>50000</v>
      </c>
      <c r="W103" s="195">
        <v>50000</v>
      </c>
      <c r="X103" s="195">
        <f t="shared" si="20"/>
        <v>100000</v>
      </c>
      <c r="Y103" s="196">
        <f>+P103-X103</f>
        <v>0</v>
      </c>
    </row>
    <row r="104" spans="1:25" s="2" customFormat="1" ht="21.75" customHeight="1" x14ac:dyDescent="0.35">
      <c r="A104" s="2">
        <v>10772</v>
      </c>
      <c r="B104" s="43" t="s">
        <v>312</v>
      </c>
      <c r="C104" s="43" t="s">
        <v>313</v>
      </c>
      <c r="D104" s="178">
        <v>1148</v>
      </c>
      <c r="E104" s="185">
        <v>1850</v>
      </c>
      <c r="F104" s="185">
        <v>472</v>
      </c>
      <c r="G104" s="185">
        <v>60</v>
      </c>
      <c r="H104" s="185">
        <v>70</v>
      </c>
      <c r="I104" s="185">
        <v>4</v>
      </c>
      <c r="J104" s="186">
        <f t="shared" si="14"/>
        <v>3604</v>
      </c>
      <c r="K104" s="194" t="str">
        <f t="shared" si="15"/>
        <v>M</v>
      </c>
      <c r="L104" s="174"/>
      <c r="M104" s="174">
        <v>1</v>
      </c>
      <c r="N104" s="174"/>
      <c r="O104" s="195">
        <f t="shared" si="16"/>
        <v>330000</v>
      </c>
      <c r="P104" s="195">
        <f>150000+300000</f>
        <v>450000</v>
      </c>
      <c r="Q104" s="196">
        <f t="shared" si="19"/>
        <v>136.36363636363637</v>
      </c>
      <c r="U104" s="195"/>
      <c r="V104" s="195">
        <v>300000</v>
      </c>
      <c r="W104" s="195">
        <v>150000</v>
      </c>
      <c r="X104" s="195">
        <f t="shared" si="20"/>
        <v>450000</v>
      </c>
      <c r="Y104" s="196">
        <f t="shared" ref="Y104:Y150" si="21">+P104-X104</f>
        <v>0</v>
      </c>
    </row>
    <row r="105" spans="1:25" s="2" customFormat="1" ht="21.75" customHeight="1" x14ac:dyDescent="0.35">
      <c r="A105" s="2">
        <v>10772</v>
      </c>
      <c r="B105" s="169" t="s">
        <v>532</v>
      </c>
      <c r="C105" s="169" t="s">
        <v>533</v>
      </c>
      <c r="D105" s="177">
        <v>6991</v>
      </c>
      <c r="E105" s="185">
        <v>3334</v>
      </c>
      <c r="F105" s="185">
        <v>583</v>
      </c>
      <c r="G105" s="185">
        <v>82</v>
      </c>
      <c r="H105" s="185">
        <v>118</v>
      </c>
      <c r="I105" s="185">
        <v>6</v>
      </c>
      <c r="J105" s="186">
        <f t="shared" si="14"/>
        <v>11114</v>
      </c>
      <c r="K105" s="194" t="str">
        <f t="shared" si="15"/>
        <v>L</v>
      </c>
      <c r="L105" s="174"/>
      <c r="M105" s="174"/>
      <c r="N105" s="174">
        <v>1</v>
      </c>
      <c r="O105" s="195">
        <f t="shared" si="16"/>
        <v>360000</v>
      </c>
      <c r="P105" s="195">
        <f>100000+100000</f>
        <v>200000</v>
      </c>
      <c r="Q105" s="196">
        <f t="shared" si="19"/>
        <v>55.555555555555557</v>
      </c>
      <c r="U105" s="195"/>
      <c r="V105" s="195">
        <v>100000</v>
      </c>
      <c r="W105" s="195">
        <v>100000</v>
      </c>
      <c r="X105" s="195">
        <f t="shared" si="20"/>
        <v>200000</v>
      </c>
      <c r="Y105" s="196">
        <f t="shared" si="21"/>
        <v>0</v>
      </c>
    </row>
    <row r="106" spans="1:25" s="2" customFormat="1" ht="21.75" customHeight="1" x14ac:dyDescent="0.35">
      <c r="A106" s="2">
        <v>10772</v>
      </c>
      <c r="B106" s="43" t="s">
        <v>534</v>
      </c>
      <c r="C106" s="43" t="s">
        <v>535</v>
      </c>
      <c r="D106" s="178">
        <v>4091</v>
      </c>
      <c r="E106" s="185">
        <v>2701</v>
      </c>
      <c r="F106" s="185">
        <v>406</v>
      </c>
      <c r="G106" s="185">
        <v>49</v>
      </c>
      <c r="H106" s="185">
        <v>87</v>
      </c>
      <c r="I106" s="185">
        <v>2</v>
      </c>
      <c r="J106" s="186">
        <f t="shared" si="14"/>
        <v>7336</v>
      </c>
      <c r="K106" s="194" t="str">
        <f t="shared" si="15"/>
        <v>M</v>
      </c>
      <c r="L106" s="174"/>
      <c r="M106" s="174">
        <v>1</v>
      </c>
      <c r="N106" s="174"/>
      <c r="O106" s="195">
        <f t="shared" si="16"/>
        <v>330000</v>
      </c>
      <c r="P106" s="195">
        <f>200000+100000</f>
        <v>300000</v>
      </c>
      <c r="Q106" s="196">
        <f t="shared" si="19"/>
        <v>90.909090909090907</v>
      </c>
      <c r="U106" s="195"/>
      <c r="V106" s="195">
        <v>100000</v>
      </c>
      <c r="W106" s="195">
        <v>200000</v>
      </c>
      <c r="X106" s="195">
        <f t="shared" si="20"/>
        <v>300000</v>
      </c>
      <c r="Y106" s="196">
        <f t="shared" si="21"/>
        <v>0</v>
      </c>
    </row>
    <row r="107" spans="1:25" s="2" customFormat="1" ht="21.75" customHeight="1" x14ac:dyDescent="0.35">
      <c r="A107" s="2">
        <v>10772</v>
      </c>
      <c r="B107" s="169" t="s">
        <v>314</v>
      </c>
      <c r="C107" s="169" t="s">
        <v>315</v>
      </c>
      <c r="D107" s="177">
        <v>1293</v>
      </c>
      <c r="E107" s="185">
        <v>803</v>
      </c>
      <c r="F107" s="185">
        <v>196</v>
      </c>
      <c r="G107" s="185">
        <v>13</v>
      </c>
      <c r="H107" s="185">
        <v>33</v>
      </c>
      <c r="I107" s="185">
        <v>3</v>
      </c>
      <c r="J107" s="186">
        <f t="shared" si="14"/>
        <v>2341</v>
      </c>
      <c r="K107" s="194" t="str">
        <f t="shared" si="15"/>
        <v>S</v>
      </c>
      <c r="L107" s="174">
        <v>1</v>
      </c>
      <c r="M107" s="174"/>
      <c r="N107" s="174"/>
      <c r="O107" s="195">
        <f t="shared" si="16"/>
        <v>300000</v>
      </c>
      <c r="P107" s="195">
        <f>300000+300000</f>
        <v>600000</v>
      </c>
      <c r="Q107" s="196">
        <f t="shared" si="19"/>
        <v>200</v>
      </c>
      <c r="U107" s="195"/>
      <c r="V107" s="195">
        <v>300000</v>
      </c>
      <c r="W107" s="195">
        <v>300000</v>
      </c>
      <c r="X107" s="195">
        <f t="shared" si="20"/>
        <v>600000</v>
      </c>
      <c r="Y107" s="196">
        <f t="shared" si="21"/>
        <v>0</v>
      </c>
    </row>
    <row r="108" spans="1:25" s="2" customFormat="1" ht="21.75" customHeight="1" x14ac:dyDescent="0.35">
      <c r="A108" s="2">
        <v>10772</v>
      </c>
      <c r="B108" s="43" t="s">
        <v>536</v>
      </c>
      <c r="C108" s="43" t="s">
        <v>508</v>
      </c>
      <c r="D108" s="178">
        <v>1649</v>
      </c>
      <c r="E108" s="185">
        <v>808</v>
      </c>
      <c r="F108" s="185">
        <v>220</v>
      </c>
      <c r="G108" s="185">
        <v>14</v>
      </c>
      <c r="H108" s="185">
        <v>31</v>
      </c>
      <c r="I108" s="185">
        <v>1</v>
      </c>
      <c r="J108" s="186">
        <f t="shared" si="14"/>
        <v>2723</v>
      </c>
      <c r="K108" s="194" t="str">
        <f t="shared" si="15"/>
        <v>S</v>
      </c>
      <c r="L108" s="174">
        <v>1</v>
      </c>
      <c r="M108" s="174"/>
      <c r="N108" s="174"/>
      <c r="O108" s="195">
        <f t="shared" si="16"/>
        <v>300000</v>
      </c>
      <c r="P108" s="195">
        <f>40000+40000</f>
        <v>80000</v>
      </c>
      <c r="Q108" s="196">
        <f t="shared" si="19"/>
        <v>26.666666666666668</v>
      </c>
      <c r="U108" s="195"/>
      <c r="V108" s="195">
        <v>40000</v>
      </c>
      <c r="W108" s="195">
        <v>40000</v>
      </c>
      <c r="X108" s="195">
        <f t="shared" si="20"/>
        <v>80000</v>
      </c>
      <c r="Y108" s="196">
        <f t="shared" si="21"/>
        <v>0</v>
      </c>
    </row>
    <row r="109" spans="1:25" s="2" customFormat="1" ht="21.75" customHeight="1" x14ac:dyDescent="0.35">
      <c r="A109" s="2">
        <v>10772</v>
      </c>
      <c r="B109" s="169" t="s">
        <v>316</v>
      </c>
      <c r="C109" s="169" t="s">
        <v>317</v>
      </c>
      <c r="D109" s="177">
        <v>1243</v>
      </c>
      <c r="E109" s="185">
        <v>576</v>
      </c>
      <c r="F109" s="185">
        <v>158</v>
      </c>
      <c r="G109" s="185">
        <v>22</v>
      </c>
      <c r="H109" s="185">
        <v>21</v>
      </c>
      <c r="I109" s="185">
        <v>0</v>
      </c>
      <c r="J109" s="186">
        <f t="shared" si="14"/>
        <v>2020</v>
      </c>
      <c r="K109" s="194" t="str">
        <f t="shared" si="15"/>
        <v>S</v>
      </c>
      <c r="L109" s="174">
        <v>1</v>
      </c>
      <c r="M109" s="174"/>
      <c r="N109" s="174"/>
      <c r="O109" s="195">
        <f t="shared" si="16"/>
        <v>300000</v>
      </c>
      <c r="P109" s="278">
        <f>100000+100000</f>
        <v>200000</v>
      </c>
      <c r="Q109" s="196">
        <f>+P109*100/O109</f>
        <v>66.666666666666671</v>
      </c>
      <c r="U109" s="195"/>
      <c r="V109" s="195">
        <v>100000</v>
      </c>
      <c r="W109" s="195">
        <v>100000</v>
      </c>
      <c r="X109" s="195">
        <f t="shared" si="20"/>
        <v>200000</v>
      </c>
      <c r="Y109" s="196">
        <f t="shared" si="21"/>
        <v>0</v>
      </c>
    </row>
    <row r="110" spans="1:25" s="2" customFormat="1" ht="21.75" customHeight="1" x14ac:dyDescent="0.35">
      <c r="A110" s="2">
        <v>10772</v>
      </c>
      <c r="B110" s="43" t="s">
        <v>318</v>
      </c>
      <c r="C110" s="43" t="s">
        <v>319</v>
      </c>
      <c r="D110" s="178">
        <v>2184</v>
      </c>
      <c r="E110" s="185">
        <v>121</v>
      </c>
      <c r="F110" s="185">
        <v>14</v>
      </c>
      <c r="G110" s="185">
        <v>8</v>
      </c>
      <c r="H110" s="185">
        <v>5</v>
      </c>
      <c r="I110" s="185">
        <v>0</v>
      </c>
      <c r="J110" s="186">
        <f t="shared" si="14"/>
        <v>2332</v>
      </c>
      <c r="K110" s="194" t="str">
        <f t="shared" si="15"/>
        <v>S</v>
      </c>
      <c r="L110" s="174">
        <v>1</v>
      </c>
      <c r="M110" s="174"/>
      <c r="N110" s="174"/>
      <c r="O110" s="195">
        <f t="shared" si="16"/>
        <v>300000</v>
      </c>
      <c r="P110" s="195">
        <f>40000+40000</f>
        <v>80000</v>
      </c>
      <c r="Q110" s="196">
        <f t="shared" si="19"/>
        <v>26.666666666666668</v>
      </c>
      <c r="U110" s="195"/>
      <c r="V110" s="195">
        <v>40000</v>
      </c>
      <c r="W110" s="195">
        <v>40000</v>
      </c>
      <c r="X110" s="195">
        <f t="shared" si="20"/>
        <v>80000</v>
      </c>
      <c r="Y110" s="196">
        <f t="shared" si="21"/>
        <v>0</v>
      </c>
    </row>
    <row r="111" spans="1:25" s="2" customFormat="1" ht="21.75" customHeight="1" x14ac:dyDescent="0.35">
      <c r="A111" s="2">
        <v>10772</v>
      </c>
      <c r="B111" s="169" t="s">
        <v>537</v>
      </c>
      <c r="C111" s="169" t="s">
        <v>538</v>
      </c>
      <c r="D111" s="177">
        <v>1161</v>
      </c>
      <c r="E111" s="185">
        <v>712</v>
      </c>
      <c r="F111" s="185">
        <v>109</v>
      </c>
      <c r="G111" s="185">
        <v>15</v>
      </c>
      <c r="H111" s="185">
        <v>20</v>
      </c>
      <c r="I111" s="185">
        <v>0</v>
      </c>
      <c r="J111" s="186">
        <f t="shared" si="14"/>
        <v>2017</v>
      </c>
      <c r="K111" s="194" t="str">
        <f t="shared" si="15"/>
        <v>S</v>
      </c>
      <c r="L111" s="174">
        <v>1</v>
      </c>
      <c r="M111" s="174"/>
      <c r="N111" s="174"/>
      <c r="O111" s="195">
        <f t="shared" si="16"/>
        <v>300000</v>
      </c>
      <c r="P111" s="195">
        <f>50000+100000</f>
        <v>150000</v>
      </c>
      <c r="Q111" s="196">
        <f t="shared" si="19"/>
        <v>50</v>
      </c>
      <c r="U111" s="195"/>
      <c r="V111" s="195">
        <v>100000</v>
      </c>
      <c r="W111" s="195">
        <v>50000</v>
      </c>
      <c r="X111" s="195">
        <f t="shared" si="20"/>
        <v>150000</v>
      </c>
      <c r="Y111" s="196">
        <f t="shared" si="21"/>
        <v>0</v>
      </c>
    </row>
    <row r="112" spans="1:25" s="2" customFormat="1" ht="21.75" customHeight="1" x14ac:dyDescent="0.35">
      <c r="A112" s="2">
        <v>10772</v>
      </c>
      <c r="B112" s="43" t="s">
        <v>539</v>
      </c>
      <c r="C112" s="43" t="s">
        <v>540</v>
      </c>
      <c r="D112" s="178">
        <v>1501</v>
      </c>
      <c r="E112" s="185">
        <v>596</v>
      </c>
      <c r="F112" s="185">
        <v>45</v>
      </c>
      <c r="G112" s="185">
        <v>20</v>
      </c>
      <c r="H112" s="185">
        <v>12</v>
      </c>
      <c r="I112" s="185">
        <v>0</v>
      </c>
      <c r="J112" s="186">
        <f t="shared" si="14"/>
        <v>2174</v>
      </c>
      <c r="K112" s="194" t="str">
        <f t="shared" si="15"/>
        <v>S</v>
      </c>
      <c r="L112" s="174">
        <v>1</v>
      </c>
      <c r="M112" s="174"/>
      <c r="N112" s="174"/>
      <c r="O112" s="195">
        <f t="shared" si="16"/>
        <v>300000</v>
      </c>
      <c r="P112" s="195">
        <f>200000+100000</f>
        <v>300000</v>
      </c>
      <c r="Q112" s="196">
        <f t="shared" si="19"/>
        <v>100</v>
      </c>
      <c r="U112" s="195"/>
      <c r="V112" s="195">
        <v>100000</v>
      </c>
      <c r="W112" s="195">
        <v>200000</v>
      </c>
      <c r="X112" s="195">
        <f t="shared" si="20"/>
        <v>300000</v>
      </c>
      <c r="Y112" s="196">
        <f t="shared" si="21"/>
        <v>0</v>
      </c>
    </row>
    <row r="113" spans="1:25" s="2" customFormat="1" ht="21.75" customHeight="1" x14ac:dyDescent="0.35">
      <c r="A113" s="2">
        <v>10772</v>
      </c>
      <c r="B113" s="169" t="s">
        <v>541</v>
      </c>
      <c r="C113" s="169" t="s">
        <v>819</v>
      </c>
      <c r="D113" s="177">
        <v>809</v>
      </c>
      <c r="E113" s="185">
        <v>144</v>
      </c>
      <c r="F113" s="185">
        <v>44</v>
      </c>
      <c r="G113" s="185">
        <v>4</v>
      </c>
      <c r="H113" s="185">
        <v>7</v>
      </c>
      <c r="I113" s="185">
        <v>0</v>
      </c>
      <c r="J113" s="186">
        <f t="shared" si="14"/>
        <v>1008</v>
      </c>
      <c r="K113" s="194" t="str">
        <f t="shared" si="15"/>
        <v>S</v>
      </c>
      <c r="L113" s="174">
        <v>1</v>
      </c>
      <c r="M113" s="174"/>
      <c r="N113" s="174"/>
      <c r="O113" s="195">
        <f t="shared" si="16"/>
        <v>300000</v>
      </c>
      <c r="P113" s="195">
        <f>40000+40000</f>
        <v>80000</v>
      </c>
      <c r="Q113" s="196">
        <f t="shared" si="19"/>
        <v>26.666666666666668</v>
      </c>
      <c r="U113" s="195"/>
      <c r="V113" s="195">
        <v>40000</v>
      </c>
      <c r="W113" s="195">
        <v>40000</v>
      </c>
      <c r="X113" s="195">
        <f t="shared" si="20"/>
        <v>80000</v>
      </c>
      <c r="Y113" s="196">
        <f t="shared" si="21"/>
        <v>0</v>
      </c>
    </row>
    <row r="114" spans="1:25" s="2" customFormat="1" ht="21.75" customHeight="1" x14ac:dyDescent="0.35">
      <c r="A114" s="2">
        <v>10772</v>
      </c>
      <c r="B114" s="169" t="s">
        <v>542</v>
      </c>
      <c r="C114" s="169" t="s">
        <v>820</v>
      </c>
      <c r="D114" s="177">
        <v>420</v>
      </c>
      <c r="E114" s="185">
        <v>508</v>
      </c>
      <c r="F114" s="185">
        <v>100</v>
      </c>
      <c r="G114" s="185">
        <v>9</v>
      </c>
      <c r="H114" s="185">
        <v>19</v>
      </c>
      <c r="I114" s="185">
        <v>1</v>
      </c>
      <c r="J114" s="186">
        <f t="shared" si="14"/>
        <v>1057</v>
      </c>
      <c r="K114" s="194" t="str">
        <f t="shared" si="15"/>
        <v>S</v>
      </c>
      <c r="L114" s="174">
        <v>1</v>
      </c>
      <c r="M114" s="174"/>
      <c r="N114" s="174"/>
      <c r="O114" s="195">
        <f t="shared" si="16"/>
        <v>300000</v>
      </c>
      <c r="P114" s="195">
        <f>10000+10000</f>
        <v>20000</v>
      </c>
      <c r="Q114" s="196">
        <f t="shared" si="19"/>
        <v>6.666666666666667</v>
      </c>
      <c r="U114" s="195"/>
      <c r="V114" s="195">
        <v>10000</v>
      </c>
      <c r="W114" s="195">
        <v>10000</v>
      </c>
      <c r="X114" s="195">
        <f t="shared" si="20"/>
        <v>20000</v>
      </c>
      <c r="Y114" s="196">
        <f t="shared" si="21"/>
        <v>0</v>
      </c>
    </row>
    <row r="115" spans="1:25" s="2" customFormat="1" ht="21.75" customHeight="1" x14ac:dyDescent="0.35">
      <c r="A115" s="2">
        <v>10772</v>
      </c>
      <c r="B115" s="43" t="s">
        <v>320</v>
      </c>
      <c r="C115" s="43" t="s">
        <v>321</v>
      </c>
      <c r="D115" s="178">
        <v>1525</v>
      </c>
      <c r="E115" s="185">
        <v>668</v>
      </c>
      <c r="F115" s="185">
        <v>121</v>
      </c>
      <c r="G115" s="185">
        <v>17</v>
      </c>
      <c r="H115" s="185">
        <v>34</v>
      </c>
      <c r="I115" s="185">
        <v>0</v>
      </c>
      <c r="J115" s="186">
        <f t="shared" si="14"/>
        <v>2365</v>
      </c>
      <c r="K115" s="194" t="str">
        <f t="shared" si="15"/>
        <v>S</v>
      </c>
      <c r="L115" s="174">
        <v>1</v>
      </c>
      <c r="M115" s="174"/>
      <c r="N115" s="174"/>
      <c r="O115" s="195">
        <f t="shared" si="16"/>
        <v>300000</v>
      </c>
      <c r="P115" s="195">
        <f>200000+250000</f>
        <v>450000</v>
      </c>
      <c r="Q115" s="196">
        <f t="shared" si="19"/>
        <v>150</v>
      </c>
      <c r="U115" s="195"/>
      <c r="V115" s="195">
        <v>250000</v>
      </c>
      <c r="W115" s="195">
        <v>200000</v>
      </c>
      <c r="X115" s="195">
        <f t="shared" si="20"/>
        <v>450000</v>
      </c>
      <c r="Y115" s="196">
        <f t="shared" si="21"/>
        <v>0</v>
      </c>
    </row>
    <row r="116" spans="1:25" s="2" customFormat="1" ht="21.75" customHeight="1" x14ac:dyDescent="0.35">
      <c r="A116" s="2">
        <v>10772</v>
      </c>
      <c r="B116" s="169" t="s">
        <v>543</v>
      </c>
      <c r="C116" s="169" t="s">
        <v>544</v>
      </c>
      <c r="D116" s="177">
        <v>790</v>
      </c>
      <c r="E116" s="185">
        <v>433</v>
      </c>
      <c r="F116" s="185">
        <v>146</v>
      </c>
      <c r="G116" s="185">
        <v>7</v>
      </c>
      <c r="H116" s="185">
        <v>24</v>
      </c>
      <c r="I116" s="185">
        <v>2</v>
      </c>
      <c r="J116" s="186">
        <f t="shared" si="14"/>
        <v>1402</v>
      </c>
      <c r="K116" s="194" t="str">
        <f t="shared" si="15"/>
        <v>S</v>
      </c>
      <c r="L116" s="174">
        <v>1</v>
      </c>
      <c r="M116" s="174"/>
      <c r="N116" s="174"/>
      <c r="O116" s="195">
        <f t="shared" si="16"/>
        <v>300000</v>
      </c>
      <c r="P116" s="195">
        <f>40000+40000</f>
        <v>80000</v>
      </c>
      <c r="Q116" s="196">
        <f t="shared" si="19"/>
        <v>26.666666666666668</v>
      </c>
      <c r="U116" s="195"/>
      <c r="V116" s="195">
        <v>40000</v>
      </c>
      <c r="W116" s="195">
        <v>40000</v>
      </c>
      <c r="X116" s="195">
        <f t="shared" si="20"/>
        <v>80000</v>
      </c>
      <c r="Y116" s="196">
        <f t="shared" si="21"/>
        <v>0</v>
      </c>
    </row>
    <row r="117" spans="1:25" s="2" customFormat="1" ht="21.75" customHeight="1" x14ac:dyDescent="0.35">
      <c r="A117" s="2">
        <v>10772</v>
      </c>
      <c r="B117" s="43" t="s">
        <v>322</v>
      </c>
      <c r="C117" s="43" t="s">
        <v>323</v>
      </c>
      <c r="D117" s="178">
        <v>5983</v>
      </c>
      <c r="E117" s="185">
        <v>1541</v>
      </c>
      <c r="F117" s="185">
        <v>277</v>
      </c>
      <c r="G117" s="185">
        <v>66</v>
      </c>
      <c r="H117" s="185">
        <v>48</v>
      </c>
      <c r="I117" s="185">
        <v>3</v>
      </c>
      <c r="J117" s="186">
        <f t="shared" si="14"/>
        <v>7918</v>
      </c>
      <c r="K117" s="194" t="str">
        <f t="shared" si="15"/>
        <v>M</v>
      </c>
      <c r="L117" s="174"/>
      <c r="M117" s="174"/>
      <c r="N117" s="174">
        <v>1</v>
      </c>
      <c r="O117" s="195">
        <f t="shared" si="16"/>
        <v>330000</v>
      </c>
      <c r="P117" s="195">
        <f>415000+450000</f>
        <v>865000</v>
      </c>
      <c r="Q117" s="196">
        <f t="shared" si="19"/>
        <v>262.12121212121212</v>
      </c>
      <c r="U117" s="195"/>
      <c r="V117" s="195">
        <v>450000</v>
      </c>
      <c r="W117" s="195">
        <v>415000</v>
      </c>
      <c r="X117" s="195">
        <f t="shared" si="20"/>
        <v>865000</v>
      </c>
      <c r="Y117" s="196">
        <f t="shared" si="21"/>
        <v>0</v>
      </c>
    </row>
    <row r="118" spans="1:25" s="2" customFormat="1" ht="21.75" customHeight="1" x14ac:dyDescent="0.35">
      <c r="A118" s="2">
        <v>10772</v>
      </c>
      <c r="B118" s="169" t="s">
        <v>545</v>
      </c>
      <c r="C118" s="169" t="s">
        <v>546</v>
      </c>
      <c r="D118" s="177">
        <v>1656</v>
      </c>
      <c r="E118" s="185">
        <v>751</v>
      </c>
      <c r="F118" s="185">
        <v>243</v>
      </c>
      <c r="G118" s="185">
        <v>30</v>
      </c>
      <c r="H118" s="185">
        <v>44</v>
      </c>
      <c r="I118" s="185">
        <v>4</v>
      </c>
      <c r="J118" s="186">
        <f t="shared" si="14"/>
        <v>2728</v>
      </c>
      <c r="K118" s="194" t="str">
        <f t="shared" si="15"/>
        <v>S</v>
      </c>
      <c r="L118" s="174">
        <v>1</v>
      </c>
      <c r="M118" s="174"/>
      <c r="N118" s="174"/>
      <c r="O118" s="195">
        <f t="shared" si="16"/>
        <v>300000</v>
      </c>
      <c r="P118" s="195">
        <f>100000+185000</f>
        <v>285000</v>
      </c>
      <c r="Q118" s="196">
        <f t="shared" si="19"/>
        <v>95</v>
      </c>
      <c r="U118" s="195"/>
      <c r="V118" s="195">
        <v>185000</v>
      </c>
      <c r="W118" s="195">
        <v>100000</v>
      </c>
      <c r="X118" s="195">
        <f t="shared" si="20"/>
        <v>285000</v>
      </c>
      <c r="Y118" s="196">
        <f t="shared" si="21"/>
        <v>0</v>
      </c>
    </row>
    <row r="119" spans="1:25" s="2" customFormat="1" ht="21.75" customHeight="1" x14ac:dyDescent="0.35">
      <c r="A119" s="2">
        <v>10772</v>
      </c>
      <c r="B119" s="43" t="s">
        <v>324</v>
      </c>
      <c r="C119" s="43" t="s">
        <v>325</v>
      </c>
      <c r="D119" s="178">
        <v>932</v>
      </c>
      <c r="E119" s="185">
        <v>516</v>
      </c>
      <c r="F119" s="185">
        <v>133</v>
      </c>
      <c r="G119" s="185">
        <v>7</v>
      </c>
      <c r="H119" s="185">
        <v>14</v>
      </c>
      <c r="I119" s="185">
        <v>0</v>
      </c>
      <c r="J119" s="186">
        <f t="shared" si="14"/>
        <v>1602</v>
      </c>
      <c r="K119" s="194" t="str">
        <f t="shared" si="15"/>
        <v>S</v>
      </c>
      <c r="L119" s="174">
        <v>1</v>
      </c>
      <c r="M119" s="174"/>
      <c r="N119" s="174"/>
      <c r="O119" s="195">
        <f t="shared" si="16"/>
        <v>300000</v>
      </c>
      <c r="P119" s="195">
        <f>30000+30000</f>
        <v>60000</v>
      </c>
      <c r="Q119" s="196">
        <f t="shared" si="19"/>
        <v>20</v>
      </c>
      <c r="U119" s="195"/>
      <c r="V119" s="195">
        <v>30000</v>
      </c>
      <c r="W119" s="195">
        <v>30000</v>
      </c>
      <c r="X119" s="195">
        <f t="shared" si="20"/>
        <v>60000</v>
      </c>
      <c r="Y119" s="196">
        <f t="shared" si="21"/>
        <v>0</v>
      </c>
    </row>
    <row r="120" spans="1:25" s="2" customFormat="1" ht="21.75" customHeight="1" x14ac:dyDescent="0.35">
      <c r="A120" s="2">
        <v>10773</v>
      </c>
      <c r="B120" s="169" t="s">
        <v>553</v>
      </c>
      <c r="C120" s="169" t="s">
        <v>554</v>
      </c>
      <c r="D120" s="177">
        <v>2216</v>
      </c>
      <c r="E120" s="185">
        <v>850</v>
      </c>
      <c r="F120" s="185">
        <v>364</v>
      </c>
      <c r="G120" s="185">
        <v>58</v>
      </c>
      <c r="H120" s="185">
        <v>48</v>
      </c>
      <c r="I120" s="185">
        <v>3</v>
      </c>
      <c r="J120" s="186">
        <f t="shared" si="14"/>
        <v>3539</v>
      </c>
      <c r="K120" s="194" t="str">
        <f t="shared" si="15"/>
        <v>M</v>
      </c>
      <c r="L120" s="174"/>
      <c r="M120" s="174">
        <v>1</v>
      </c>
      <c r="N120" s="174"/>
      <c r="O120" s="195">
        <f t="shared" si="16"/>
        <v>330000</v>
      </c>
      <c r="P120" s="2">
        <v>0</v>
      </c>
      <c r="Q120" s="196">
        <f t="shared" si="19"/>
        <v>0</v>
      </c>
      <c r="W120" s="2">
        <v>0</v>
      </c>
      <c r="X120" s="195">
        <f t="shared" si="20"/>
        <v>0</v>
      </c>
      <c r="Y120" s="196">
        <f t="shared" si="21"/>
        <v>0</v>
      </c>
    </row>
    <row r="121" spans="1:25" s="2" customFormat="1" ht="21.75" customHeight="1" x14ac:dyDescent="0.35">
      <c r="A121" s="2">
        <v>10773</v>
      </c>
      <c r="B121" s="43" t="s">
        <v>326</v>
      </c>
      <c r="C121" s="43" t="s">
        <v>327</v>
      </c>
      <c r="D121" s="178">
        <v>1003</v>
      </c>
      <c r="E121" s="185">
        <v>501</v>
      </c>
      <c r="F121" s="185">
        <v>148</v>
      </c>
      <c r="G121" s="185">
        <v>3</v>
      </c>
      <c r="H121" s="185">
        <v>16</v>
      </c>
      <c r="I121" s="185">
        <v>1</v>
      </c>
      <c r="J121" s="186">
        <f t="shared" si="14"/>
        <v>1672</v>
      </c>
      <c r="K121" s="194" t="str">
        <f t="shared" si="15"/>
        <v>S</v>
      </c>
      <c r="L121" s="174">
        <v>1</v>
      </c>
      <c r="M121" s="174"/>
      <c r="N121" s="174"/>
      <c r="O121" s="195">
        <f t="shared" si="16"/>
        <v>300000</v>
      </c>
      <c r="P121" s="2">
        <v>100000</v>
      </c>
      <c r="Q121" s="196">
        <f t="shared" si="19"/>
        <v>33.333333333333336</v>
      </c>
      <c r="W121" s="2">
        <v>100000</v>
      </c>
      <c r="X121" s="195">
        <f t="shared" si="20"/>
        <v>100000</v>
      </c>
      <c r="Y121" s="196">
        <f t="shared" si="21"/>
        <v>0</v>
      </c>
    </row>
    <row r="122" spans="1:25" s="2" customFormat="1" ht="21.75" customHeight="1" x14ac:dyDescent="0.35">
      <c r="A122" s="2">
        <v>10773</v>
      </c>
      <c r="B122" s="169" t="s">
        <v>483</v>
      </c>
      <c r="C122" s="169" t="s">
        <v>484</v>
      </c>
      <c r="D122" s="177">
        <v>2038</v>
      </c>
      <c r="E122" s="185">
        <v>729</v>
      </c>
      <c r="F122" s="185">
        <v>182</v>
      </c>
      <c r="G122" s="185">
        <v>26</v>
      </c>
      <c r="H122" s="185">
        <v>21</v>
      </c>
      <c r="I122" s="185">
        <v>2</v>
      </c>
      <c r="J122" s="186">
        <f t="shared" si="14"/>
        <v>2998</v>
      </c>
      <c r="K122" s="194" t="str">
        <f t="shared" si="15"/>
        <v>S</v>
      </c>
      <c r="L122" s="174">
        <v>1</v>
      </c>
      <c r="M122" s="174"/>
      <c r="N122" s="174"/>
      <c r="O122" s="195">
        <f t="shared" si="16"/>
        <v>300000</v>
      </c>
      <c r="P122" s="2">
        <v>100000</v>
      </c>
      <c r="Q122" s="196">
        <f t="shared" si="19"/>
        <v>33.333333333333336</v>
      </c>
      <c r="W122" s="2">
        <v>100000</v>
      </c>
      <c r="X122" s="195">
        <f t="shared" si="20"/>
        <v>100000</v>
      </c>
      <c r="Y122" s="196">
        <f t="shared" si="21"/>
        <v>0</v>
      </c>
    </row>
    <row r="123" spans="1:25" s="2" customFormat="1" ht="21.75" customHeight="1" x14ac:dyDescent="0.35">
      <c r="A123" s="2">
        <v>10773</v>
      </c>
      <c r="B123" s="43" t="s">
        <v>555</v>
      </c>
      <c r="C123" s="43" t="s">
        <v>556</v>
      </c>
      <c r="D123" s="178">
        <v>1341</v>
      </c>
      <c r="E123" s="185">
        <v>594</v>
      </c>
      <c r="F123" s="185">
        <v>239</v>
      </c>
      <c r="G123" s="185">
        <v>14</v>
      </c>
      <c r="H123" s="185">
        <v>31</v>
      </c>
      <c r="I123" s="185">
        <v>0</v>
      </c>
      <c r="J123" s="186">
        <f t="shared" si="14"/>
        <v>2219</v>
      </c>
      <c r="K123" s="194" t="str">
        <f t="shared" si="15"/>
        <v>S</v>
      </c>
      <c r="L123" s="174">
        <v>1</v>
      </c>
      <c r="M123" s="174"/>
      <c r="N123" s="174"/>
      <c r="O123" s="195">
        <f t="shared" si="16"/>
        <v>300000</v>
      </c>
      <c r="P123" s="2">
        <v>100000</v>
      </c>
      <c r="Q123" s="196">
        <f t="shared" si="19"/>
        <v>33.333333333333336</v>
      </c>
      <c r="W123" s="2">
        <v>100000</v>
      </c>
      <c r="X123" s="195">
        <f t="shared" si="20"/>
        <v>100000</v>
      </c>
      <c r="Y123" s="196">
        <f t="shared" si="21"/>
        <v>0</v>
      </c>
    </row>
    <row r="124" spans="1:25" s="2" customFormat="1" ht="21.75" customHeight="1" x14ac:dyDescent="0.35">
      <c r="A124" s="2">
        <v>10773</v>
      </c>
      <c r="B124" s="169" t="s">
        <v>557</v>
      </c>
      <c r="C124" s="169" t="s">
        <v>558</v>
      </c>
      <c r="D124" s="177">
        <v>1180</v>
      </c>
      <c r="E124" s="185">
        <v>543</v>
      </c>
      <c r="F124" s="185">
        <v>172</v>
      </c>
      <c r="G124" s="185">
        <v>16</v>
      </c>
      <c r="H124" s="185">
        <v>35</v>
      </c>
      <c r="I124" s="185">
        <v>1</v>
      </c>
      <c r="J124" s="186">
        <f t="shared" si="14"/>
        <v>1947</v>
      </c>
      <c r="K124" s="194" t="str">
        <f t="shared" si="15"/>
        <v>S</v>
      </c>
      <c r="L124" s="174">
        <v>1</v>
      </c>
      <c r="M124" s="174"/>
      <c r="N124" s="174"/>
      <c r="O124" s="195">
        <f t="shared" si="16"/>
        <v>300000</v>
      </c>
      <c r="P124" s="2">
        <v>100000</v>
      </c>
      <c r="Q124" s="196">
        <f t="shared" si="19"/>
        <v>33.333333333333336</v>
      </c>
      <c r="W124" s="2">
        <v>100000</v>
      </c>
      <c r="X124" s="195">
        <f t="shared" si="20"/>
        <v>100000</v>
      </c>
      <c r="Y124" s="196">
        <f t="shared" si="21"/>
        <v>0</v>
      </c>
    </row>
    <row r="125" spans="1:25" s="2" customFormat="1" ht="21.75" customHeight="1" x14ac:dyDescent="0.35">
      <c r="A125" s="2">
        <v>10773</v>
      </c>
      <c r="B125" s="43" t="s">
        <v>559</v>
      </c>
      <c r="C125" s="43" t="s">
        <v>560</v>
      </c>
      <c r="D125" s="178">
        <v>862</v>
      </c>
      <c r="E125" s="185">
        <v>432</v>
      </c>
      <c r="F125" s="185">
        <v>75</v>
      </c>
      <c r="G125" s="185">
        <v>15</v>
      </c>
      <c r="H125" s="185">
        <v>12</v>
      </c>
      <c r="I125" s="185">
        <v>1</v>
      </c>
      <c r="J125" s="186">
        <f t="shared" si="14"/>
        <v>1397</v>
      </c>
      <c r="K125" s="194" t="str">
        <f t="shared" si="15"/>
        <v>S</v>
      </c>
      <c r="L125" s="174">
        <v>1</v>
      </c>
      <c r="M125" s="174"/>
      <c r="N125" s="174"/>
      <c r="O125" s="195">
        <f t="shared" si="16"/>
        <v>300000</v>
      </c>
      <c r="P125" s="2">
        <v>100000</v>
      </c>
      <c r="Q125" s="196">
        <f t="shared" si="19"/>
        <v>33.333333333333336</v>
      </c>
      <c r="W125" s="2">
        <v>100000</v>
      </c>
      <c r="X125" s="195">
        <f t="shared" si="20"/>
        <v>100000</v>
      </c>
      <c r="Y125" s="196">
        <f t="shared" si="21"/>
        <v>0</v>
      </c>
    </row>
    <row r="126" spans="1:25" s="2" customFormat="1" ht="21.75" customHeight="1" x14ac:dyDescent="0.35">
      <c r="A126" s="2">
        <v>10773</v>
      </c>
      <c r="B126" s="169" t="s">
        <v>561</v>
      </c>
      <c r="C126" s="169" t="s">
        <v>562</v>
      </c>
      <c r="D126" s="177">
        <v>2295</v>
      </c>
      <c r="E126" s="185">
        <v>966</v>
      </c>
      <c r="F126" s="185">
        <v>254</v>
      </c>
      <c r="G126" s="185">
        <v>18</v>
      </c>
      <c r="H126" s="185">
        <v>42</v>
      </c>
      <c r="I126" s="185">
        <v>0</v>
      </c>
      <c r="J126" s="186">
        <f>SUM(D126:I126)</f>
        <v>3575</v>
      </c>
      <c r="K126" s="194" t="str">
        <f t="shared" si="15"/>
        <v>M</v>
      </c>
      <c r="L126" s="174"/>
      <c r="M126" s="174">
        <v>1</v>
      </c>
      <c r="N126" s="174"/>
      <c r="O126" s="195">
        <f t="shared" si="16"/>
        <v>330000</v>
      </c>
      <c r="P126" s="2">
        <v>0</v>
      </c>
      <c r="Q126" s="196">
        <f t="shared" si="19"/>
        <v>0</v>
      </c>
      <c r="W126" s="2">
        <v>0</v>
      </c>
      <c r="X126" s="195">
        <f t="shared" si="20"/>
        <v>0</v>
      </c>
      <c r="Y126" s="196">
        <f t="shared" si="21"/>
        <v>0</v>
      </c>
    </row>
    <row r="127" spans="1:25" s="2" customFormat="1" ht="21.75" customHeight="1" x14ac:dyDescent="0.35">
      <c r="A127" s="2">
        <v>10773</v>
      </c>
      <c r="B127" s="169" t="s">
        <v>563</v>
      </c>
      <c r="C127" s="169" t="s">
        <v>564</v>
      </c>
      <c r="D127" s="177">
        <v>1119</v>
      </c>
      <c r="E127" s="185">
        <v>424</v>
      </c>
      <c r="F127" s="185">
        <v>128</v>
      </c>
      <c r="G127" s="185">
        <v>13</v>
      </c>
      <c r="H127" s="185">
        <v>18</v>
      </c>
      <c r="I127" s="185">
        <v>0</v>
      </c>
      <c r="J127" s="186">
        <f t="shared" si="14"/>
        <v>1702</v>
      </c>
      <c r="K127" s="194" t="str">
        <f t="shared" si="15"/>
        <v>S</v>
      </c>
      <c r="L127" s="174">
        <v>1</v>
      </c>
      <c r="M127" s="174"/>
      <c r="N127" s="174"/>
      <c r="O127" s="195">
        <f t="shared" si="16"/>
        <v>300000</v>
      </c>
      <c r="P127" s="2">
        <v>100000</v>
      </c>
      <c r="Q127" s="196">
        <f t="shared" si="19"/>
        <v>33.333333333333336</v>
      </c>
      <c r="W127" s="2">
        <v>100000</v>
      </c>
      <c r="X127" s="195">
        <f t="shared" si="20"/>
        <v>100000</v>
      </c>
      <c r="Y127" s="196">
        <f t="shared" si="21"/>
        <v>0</v>
      </c>
    </row>
    <row r="128" spans="1:25" s="2" customFormat="1" ht="21.75" customHeight="1" x14ac:dyDescent="0.35">
      <c r="A128" s="2">
        <v>10773</v>
      </c>
      <c r="B128" s="43" t="s">
        <v>565</v>
      </c>
      <c r="C128" s="43" t="s">
        <v>566</v>
      </c>
      <c r="D128" s="178">
        <v>1956</v>
      </c>
      <c r="E128" s="185">
        <v>759</v>
      </c>
      <c r="F128" s="185">
        <v>193</v>
      </c>
      <c r="G128" s="185">
        <v>13</v>
      </c>
      <c r="H128" s="185">
        <v>27</v>
      </c>
      <c r="I128" s="185">
        <v>1</v>
      </c>
      <c r="J128" s="186">
        <f t="shared" si="14"/>
        <v>2949</v>
      </c>
      <c r="K128" s="194" t="str">
        <f t="shared" si="15"/>
        <v>S</v>
      </c>
      <c r="L128" s="174">
        <v>1</v>
      </c>
      <c r="M128" s="174"/>
      <c r="N128" s="174"/>
      <c r="O128" s="195">
        <f t="shared" si="16"/>
        <v>300000</v>
      </c>
      <c r="P128" s="2">
        <v>245152</v>
      </c>
      <c r="Q128" s="196">
        <f t="shared" si="19"/>
        <v>81.717333333333329</v>
      </c>
      <c r="W128" s="2">
        <v>245152</v>
      </c>
      <c r="X128" s="195">
        <f t="shared" si="20"/>
        <v>245152</v>
      </c>
      <c r="Y128" s="196">
        <f t="shared" si="21"/>
        <v>0</v>
      </c>
    </row>
    <row r="129" spans="1:25" s="2" customFormat="1" ht="21.75" customHeight="1" x14ac:dyDescent="0.35">
      <c r="A129" s="2">
        <v>10773</v>
      </c>
      <c r="B129" s="169" t="s">
        <v>567</v>
      </c>
      <c r="C129" s="169" t="s">
        <v>372</v>
      </c>
      <c r="D129" s="177">
        <v>980</v>
      </c>
      <c r="E129" s="185">
        <v>447</v>
      </c>
      <c r="F129" s="185">
        <v>77</v>
      </c>
      <c r="G129" s="185">
        <v>8</v>
      </c>
      <c r="H129" s="185">
        <v>11</v>
      </c>
      <c r="I129" s="185">
        <v>0</v>
      </c>
      <c r="J129" s="186">
        <f t="shared" si="14"/>
        <v>1523</v>
      </c>
      <c r="K129" s="194" t="str">
        <f t="shared" si="15"/>
        <v>S</v>
      </c>
      <c r="L129" s="174">
        <v>1</v>
      </c>
      <c r="M129" s="174"/>
      <c r="N129" s="174"/>
      <c r="O129" s="195">
        <f t="shared" si="16"/>
        <v>300000</v>
      </c>
      <c r="P129" s="2">
        <v>100000</v>
      </c>
      <c r="Q129" s="196">
        <f t="shared" si="19"/>
        <v>33.333333333333336</v>
      </c>
      <c r="W129" s="2">
        <v>100000</v>
      </c>
      <c r="X129" s="195">
        <f t="shared" si="20"/>
        <v>100000</v>
      </c>
      <c r="Y129" s="196">
        <f t="shared" si="21"/>
        <v>0</v>
      </c>
    </row>
    <row r="130" spans="1:25" s="2" customFormat="1" ht="21.75" customHeight="1" x14ac:dyDescent="0.35">
      <c r="A130" s="2">
        <v>10773</v>
      </c>
      <c r="B130" s="43" t="s">
        <v>568</v>
      </c>
      <c r="C130" s="43" t="s">
        <v>569</v>
      </c>
      <c r="D130" s="178">
        <v>1705</v>
      </c>
      <c r="E130" s="185">
        <v>720</v>
      </c>
      <c r="F130" s="185">
        <v>404</v>
      </c>
      <c r="G130" s="185">
        <v>38</v>
      </c>
      <c r="H130" s="185">
        <v>44</v>
      </c>
      <c r="I130" s="185">
        <v>1</v>
      </c>
      <c r="J130" s="186">
        <f t="shared" si="14"/>
        <v>2912</v>
      </c>
      <c r="K130" s="194" t="str">
        <f t="shared" si="15"/>
        <v>S</v>
      </c>
      <c r="L130" s="174">
        <v>1</v>
      </c>
      <c r="M130" s="174"/>
      <c r="N130" s="174"/>
      <c r="O130" s="195">
        <f t="shared" si="16"/>
        <v>300000</v>
      </c>
      <c r="P130" s="2">
        <v>0</v>
      </c>
      <c r="Q130" s="196">
        <f t="shared" si="19"/>
        <v>0</v>
      </c>
      <c r="W130" s="2">
        <v>0</v>
      </c>
      <c r="X130" s="195">
        <f t="shared" si="20"/>
        <v>0</v>
      </c>
      <c r="Y130" s="196">
        <f t="shared" si="21"/>
        <v>0</v>
      </c>
    </row>
    <row r="131" spans="1:25" s="2" customFormat="1" ht="21.75" customHeight="1" x14ac:dyDescent="0.35">
      <c r="A131" s="2">
        <v>10773</v>
      </c>
      <c r="B131" s="169" t="s">
        <v>570</v>
      </c>
      <c r="C131" s="169" t="s">
        <v>571</v>
      </c>
      <c r="D131" s="177">
        <v>1322</v>
      </c>
      <c r="E131" s="185">
        <v>840</v>
      </c>
      <c r="F131" s="185">
        <v>234</v>
      </c>
      <c r="G131" s="185">
        <v>25</v>
      </c>
      <c r="H131" s="185">
        <v>35</v>
      </c>
      <c r="I131" s="185">
        <v>0</v>
      </c>
      <c r="J131" s="186">
        <f t="shared" si="14"/>
        <v>2456</v>
      </c>
      <c r="K131" s="194" t="str">
        <f t="shared" si="15"/>
        <v>S</v>
      </c>
      <c r="L131" s="174">
        <v>1</v>
      </c>
      <c r="M131" s="174"/>
      <c r="N131" s="174"/>
      <c r="O131" s="195">
        <f t="shared" si="16"/>
        <v>300000</v>
      </c>
      <c r="P131" s="2">
        <v>100000</v>
      </c>
      <c r="Q131" s="196">
        <f t="shared" si="19"/>
        <v>33.333333333333336</v>
      </c>
      <c r="W131" s="2">
        <v>100000</v>
      </c>
      <c r="X131" s="195">
        <f t="shared" si="20"/>
        <v>100000</v>
      </c>
      <c r="Y131" s="196">
        <f t="shared" si="21"/>
        <v>0</v>
      </c>
    </row>
    <row r="132" spans="1:25" s="2" customFormat="1" ht="21.75" customHeight="1" x14ac:dyDescent="0.35">
      <c r="A132" s="2">
        <v>10773</v>
      </c>
      <c r="B132" s="43" t="s">
        <v>328</v>
      </c>
      <c r="C132" s="43" t="s">
        <v>329</v>
      </c>
      <c r="D132" s="178">
        <v>2251</v>
      </c>
      <c r="E132" s="185">
        <v>840</v>
      </c>
      <c r="F132" s="185">
        <v>234</v>
      </c>
      <c r="G132" s="185">
        <v>25</v>
      </c>
      <c r="H132" s="185">
        <v>35</v>
      </c>
      <c r="I132" s="185">
        <v>0</v>
      </c>
      <c r="J132" s="186">
        <f t="shared" si="14"/>
        <v>3385</v>
      </c>
      <c r="K132" s="194" t="str">
        <f t="shared" si="15"/>
        <v>M</v>
      </c>
      <c r="L132" s="174"/>
      <c r="M132" s="174">
        <v>1</v>
      </c>
      <c r="N132" s="174"/>
      <c r="O132" s="195">
        <f t="shared" si="16"/>
        <v>330000</v>
      </c>
      <c r="P132" s="2">
        <v>100000</v>
      </c>
      <c r="Q132" s="196">
        <f t="shared" si="19"/>
        <v>30.303030303030305</v>
      </c>
      <c r="W132" s="2">
        <v>100000</v>
      </c>
      <c r="X132" s="195">
        <f t="shared" si="20"/>
        <v>100000</v>
      </c>
      <c r="Y132" s="196">
        <f t="shared" si="21"/>
        <v>0</v>
      </c>
    </row>
    <row r="133" spans="1:25" s="2" customFormat="1" ht="21.75" customHeight="1" x14ac:dyDescent="0.35">
      <c r="A133" s="2">
        <v>10773</v>
      </c>
      <c r="B133" s="169" t="s">
        <v>330</v>
      </c>
      <c r="C133" s="169" t="s">
        <v>331</v>
      </c>
      <c r="D133" s="177">
        <v>1539</v>
      </c>
      <c r="E133" s="185">
        <v>783</v>
      </c>
      <c r="F133" s="185">
        <v>249</v>
      </c>
      <c r="G133" s="185">
        <v>38</v>
      </c>
      <c r="H133" s="185">
        <v>49</v>
      </c>
      <c r="I133" s="185">
        <v>1</v>
      </c>
      <c r="J133" s="186">
        <f t="shared" si="14"/>
        <v>2659</v>
      </c>
      <c r="K133" s="194" t="str">
        <f t="shared" si="15"/>
        <v>S</v>
      </c>
      <c r="L133" s="174">
        <v>1</v>
      </c>
      <c r="M133" s="174"/>
      <c r="N133" s="174"/>
      <c r="O133" s="195">
        <f t="shared" si="16"/>
        <v>300000</v>
      </c>
      <c r="P133" s="2">
        <v>100000</v>
      </c>
      <c r="Q133" s="196">
        <f t="shared" si="19"/>
        <v>33.333333333333336</v>
      </c>
      <c r="W133" s="2">
        <v>100000</v>
      </c>
      <c r="X133" s="195">
        <f t="shared" si="20"/>
        <v>100000</v>
      </c>
      <c r="Y133" s="196">
        <f t="shared" si="21"/>
        <v>0</v>
      </c>
    </row>
    <row r="134" spans="1:25" s="2" customFormat="1" ht="21.75" customHeight="1" x14ac:dyDescent="0.35">
      <c r="A134" s="2">
        <v>10773</v>
      </c>
      <c r="B134" s="43" t="s">
        <v>572</v>
      </c>
      <c r="C134" s="43" t="s">
        <v>573</v>
      </c>
      <c r="D134" s="178">
        <v>579</v>
      </c>
      <c r="E134" s="185">
        <v>261</v>
      </c>
      <c r="F134" s="185">
        <v>61</v>
      </c>
      <c r="G134" s="185">
        <v>2</v>
      </c>
      <c r="H134" s="185">
        <v>13</v>
      </c>
      <c r="I134" s="185">
        <v>0</v>
      </c>
      <c r="J134" s="186">
        <f t="shared" ref="J134:J197" si="22">SUM(D134:I134)</f>
        <v>916</v>
      </c>
      <c r="K134" s="194" t="str">
        <f t="shared" ref="K134:K165" si="23">VLOOKUP(J134,$N$212:$O$215,2)</f>
        <v>S</v>
      </c>
      <c r="L134" s="174">
        <v>1</v>
      </c>
      <c r="M134" s="174"/>
      <c r="N134" s="174"/>
      <c r="O134" s="195">
        <f t="shared" ref="O134:O197" si="24">VLOOKUP(J134,$N$217:$O$220,2)</f>
        <v>300000</v>
      </c>
      <c r="P134" s="2">
        <v>0</v>
      </c>
      <c r="Q134" s="196">
        <f t="shared" si="19"/>
        <v>0</v>
      </c>
      <c r="W134" s="2">
        <v>0</v>
      </c>
      <c r="X134" s="195">
        <f t="shared" si="20"/>
        <v>0</v>
      </c>
      <c r="Y134" s="196">
        <f t="shared" si="21"/>
        <v>0</v>
      </c>
    </row>
    <row r="135" spans="1:25" s="2" customFormat="1" ht="21.75" customHeight="1" x14ac:dyDescent="0.35">
      <c r="A135" s="2">
        <v>10773</v>
      </c>
      <c r="B135" s="169" t="s">
        <v>574</v>
      </c>
      <c r="C135" s="169" t="s">
        <v>575</v>
      </c>
      <c r="D135" s="177">
        <v>1292</v>
      </c>
      <c r="E135" s="185">
        <v>605</v>
      </c>
      <c r="F135" s="185">
        <v>143</v>
      </c>
      <c r="G135" s="185">
        <v>17</v>
      </c>
      <c r="H135" s="185">
        <v>20</v>
      </c>
      <c r="I135" s="185">
        <v>0</v>
      </c>
      <c r="J135" s="186">
        <f t="shared" si="22"/>
        <v>2077</v>
      </c>
      <c r="K135" s="194" t="str">
        <f t="shared" si="23"/>
        <v>S</v>
      </c>
      <c r="L135" s="174">
        <v>1</v>
      </c>
      <c r="M135" s="174"/>
      <c r="N135" s="174"/>
      <c r="O135" s="195">
        <f t="shared" si="24"/>
        <v>300000</v>
      </c>
      <c r="P135" s="2">
        <v>100000</v>
      </c>
      <c r="Q135" s="196">
        <f t="shared" si="19"/>
        <v>33.333333333333336</v>
      </c>
      <c r="W135" s="2">
        <v>100000</v>
      </c>
      <c r="X135" s="195">
        <f t="shared" si="20"/>
        <v>100000</v>
      </c>
      <c r="Y135" s="196">
        <f t="shared" si="21"/>
        <v>0</v>
      </c>
    </row>
    <row r="136" spans="1:25" s="2" customFormat="1" ht="21.75" customHeight="1" x14ac:dyDescent="0.35">
      <c r="A136" s="2">
        <v>10774</v>
      </c>
      <c r="B136" s="169" t="s">
        <v>578</v>
      </c>
      <c r="C136" s="169" t="s">
        <v>579</v>
      </c>
      <c r="D136" s="177">
        <v>2358</v>
      </c>
      <c r="E136" s="185">
        <v>797</v>
      </c>
      <c r="F136" s="185">
        <v>376</v>
      </c>
      <c r="G136" s="185">
        <v>21</v>
      </c>
      <c r="H136" s="185">
        <v>52</v>
      </c>
      <c r="I136" s="185">
        <v>0</v>
      </c>
      <c r="J136" s="186">
        <f>SUM(D136:I136)</f>
        <v>3604</v>
      </c>
      <c r="K136" s="234" t="str">
        <f t="shared" si="23"/>
        <v>M</v>
      </c>
      <c r="L136" s="174">
        <v>1</v>
      </c>
      <c r="M136" s="174"/>
      <c r="N136" s="174"/>
      <c r="O136" s="242">
        <f t="shared" si="24"/>
        <v>330000</v>
      </c>
      <c r="P136" s="195">
        <f>100000+40000+80000</f>
        <v>220000</v>
      </c>
      <c r="Q136" s="196">
        <f>+P136*100/O136</f>
        <v>66.666666666666671</v>
      </c>
      <c r="S136" s="254">
        <v>43844</v>
      </c>
      <c r="U136" s="293">
        <v>80000</v>
      </c>
      <c r="V136" s="195">
        <v>100000</v>
      </c>
      <c r="W136" s="195">
        <v>40000</v>
      </c>
      <c r="X136" s="195">
        <f>SUBTOTAL(9,U136:W136)</f>
        <v>220000</v>
      </c>
      <c r="Y136" s="196">
        <f t="shared" si="21"/>
        <v>0</v>
      </c>
    </row>
    <row r="137" spans="1:25" s="2" customFormat="1" ht="21.75" customHeight="1" x14ac:dyDescent="0.35">
      <c r="A137" s="2">
        <v>10774</v>
      </c>
      <c r="B137" s="43" t="s">
        <v>580</v>
      </c>
      <c r="C137" s="43" t="s">
        <v>581</v>
      </c>
      <c r="D137" s="178">
        <v>1258</v>
      </c>
      <c r="E137" s="185">
        <v>451</v>
      </c>
      <c r="F137" s="185">
        <v>208</v>
      </c>
      <c r="G137" s="185">
        <v>28</v>
      </c>
      <c r="H137" s="185">
        <v>28</v>
      </c>
      <c r="I137" s="185">
        <v>0</v>
      </c>
      <c r="J137" s="186">
        <f t="shared" si="22"/>
        <v>1973</v>
      </c>
      <c r="K137" s="234" t="str">
        <f t="shared" si="23"/>
        <v>S</v>
      </c>
      <c r="L137" s="174">
        <v>1</v>
      </c>
      <c r="M137" s="174"/>
      <c r="N137" s="174"/>
      <c r="O137" s="242">
        <f t="shared" si="24"/>
        <v>300000</v>
      </c>
      <c r="P137" s="195">
        <f>100000+40000+80000</f>
        <v>220000</v>
      </c>
      <c r="Q137" s="196">
        <f t="shared" ref="Q137:Q150" si="25">+P137*100/O137</f>
        <v>73.333333333333329</v>
      </c>
      <c r="S137" s="254">
        <v>43844</v>
      </c>
      <c r="U137" s="293">
        <v>80000</v>
      </c>
      <c r="V137" s="195">
        <v>100000</v>
      </c>
      <c r="W137" s="195">
        <v>40000</v>
      </c>
      <c r="X137" s="195">
        <f t="shared" ref="X137:X150" si="26">SUBTOTAL(9,U137:W137)</f>
        <v>220000</v>
      </c>
      <c r="Y137" s="196">
        <f t="shared" si="21"/>
        <v>0</v>
      </c>
    </row>
    <row r="138" spans="1:25" s="2" customFormat="1" ht="21.75" customHeight="1" x14ac:dyDescent="0.35">
      <c r="A138" s="2">
        <v>10774</v>
      </c>
      <c r="B138" s="169" t="s">
        <v>582</v>
      </c>
      <c r="C138" s="169" t="s">
        <v>583</v>
      </c>
      <c r="D138" s="177">
        <v>1835</v>
      </c>
      <c r="E138" s="185">
        <v>751</v>
      </c>
      <c r="F138" s="185">
        <v>241</v>
      </c>
      <c r="G138" s="185">
        <v>25</v>
      </c>
      <c r="H138" s="185">
        <v>34</v>
      </c>
      <c r="I138" s="185">
        <v>3</v>
      </c>
      <c r="J138" s="186">
        <f t="shared" si="22"/>
        <v>2889</v>
      </c>
      <c r="K138" s="234" t="str">
        <f t="shared" si="23"/>
        <v>S</v>
      </c>
      <c r="L138" s="174">
        <v>1</v>
      </c>
      <c r="M138" s="174"/>
      <c r="N138" s="174"/>
      <c r="O138" s="242">
        <f t="shared" si="24"/>
        <v>300000</v>
      </c>
      <c r="P138" s="195">
        <f>120000+180000+150000</f>
        <v>450000</v>
      </c>
      <c r="Q138" s="196">
        <f t="shared" si="25"/>
        <v>150</v>
      </c>
      <c r="S138" s="254">
        <v>43844</v>
      </c>
      <c r="U138" s="293">
        <v>150000</v>
      </c>
      <c r="V138" s="195">
        <v>120000</v>
      </c>
      <c r="W138" s="195">
        <v>180000</v>
      </c>
      <c r="X138" s="195">
        <f t="shared" si="26"/>
        <v>450000</v>
      </c>
      <c r="Y138" s="196">
        <f t="shared" si="21"/>
        <v>0</v>
      </c>
    </row>
    <row r="139" spans="1:25" s="2" customFormat="1" ht="21.75" customHeight="1" x14ac:dyDescent="0.35">
      <c r="A139" s="2">
        <v>10774</v>
      </c>
      <c r="B139" s="43" t="s">
        <v>584</v>
      </c>
      <c r="C139" s="43" t="s">
        <v>585</v>
      </c>
      <c r="D139" s="178">
        <v>1253</v>
      </c>
      <c r="E139" s="185">
        <v>559</v>
      </c>
      <c r="F139" s="185">
        <v>137</v>
      </c>
      <c r="G139" s="185">
        <v>23</v>
      </c>
      <c r="H139" s="185">
        <v>31</v>
      </c>
      <c r="I139" s="185">
        <v>0</v>
      </c>
      <c r="J139" s="186">
        <f t="shared" si="22"/>
        <v>2003</v>
      </c>
      <c r="K139" s="234" t="str">
        <f t="shared" si="23"/>
        <v>S</v>
      </c>
      <c r="L139" s="174">
        <v>1</v>
      </c>
      <c r="M139" s="174"/>
      <c r="N139" s="174"/>
      <c r="O139" s="242">
        <f t="shared" si="24"/>
        <v>300000</v>
      </c>
      <c r="P139" s="195">
        <f>100000+100000+70000</f>
        <v>270000</v>
      </c>
      <c r="Q139" s="196">
        <f t="shared" si="25"/>
        <v>90</v>
      </c>
      <c r="S139" s="254">
        <v>43844</v>
      </c>
      <c r="U139" s="293">
        <v>70000</v>
      </c>
      <c r="V139" s="195">
        <v>100000</v>
      </c>
      <c r="W139" s="195">
        <v>100000</v>
      </c>
      <c r="X139" s="195">
        <f t="shared" si="26"/>
        <v>270000</v>
      </c>
      <c r="Y139" s="196">
        <f t="shared" si="21"/>
        <v>0</v>
      </c>
    </row>
    <row r="140" spans="1:25" s="2" customFormat="1" ht="21.75" customHeight="1" x14ac:dyDescent="0.35">
      <c r="A140" s="2">
        <v>10774</v>
      </c>
      <c r="B140" s="43" t="s">
        <v>382</v>
      </c>
      <c r="C140" s="43" t="s">
        <v>383</v>
      </c>
      <c r="D140" s="178">
        <v>1058</v>
      </c>
      <c r="E140" s="185">
        <v>525</v>
      </c>
      <c r="F140" s="185">
        <v>162</v>
      </c>
      <c r="G140" s="185">
        <v>38</v>
      </c>
      <c r="H140" s="185">
        <v>26</v>
      </c>
      <c r="I140" s="185">
        <v>0</v>
      </c>
      <c r="J140" s="186">
        <f t="shared" si="22"/>
        <v>1809</v>
      </c>
      <c r="K140" s="234" t="str">
        <f t="shared" si="23"/>
        <v>S</v>
      </c>
      <c r="L140" s="174">
        <v>1</v>
      </c>
      <c r="M140" s="174"/>
      <c r="N140" s="174"/>
      <c r="O140" s="242">
        <f t="shared" si="24"/>
        <v>300000</v>
      </c>
      <c r="P140" s="195">
        <f>100000+100000+90000</f>
        <v>290000</v>
      </c>
      <c r="Q140" s="196">
        <f t="shared" si="25"/>
        <v>96.666666666666671</v>
      </c>
      <c r="S140" s="254">
        <v>43844</v>
      </c>
      <c r="U140" s="293">
        <v>90000</v>
      </c>
      <c r="V140" s="195">
        <v>100000</v>
      </c>
      <c r="W140" s="195">
        <v>100000</v>
      </c>
      <c r="X140" s="195">
        <f t="shared" si="26"/>
        <v>290000</v>
      </c>
      <c r="Y140" s="196">
        <f t="shared" si="21"/>
        <v>0</v>
      </c>
    </row>
    <row r="141" spans="1:25" s="2" customFormat="1" ht="21.75" customHeight="1" x14ac:dyDescent="0.35">
      <c r="A141" s="2">
        <v>10774</v>
      </c>
      <c r="B141" s="169" t="s">
        <v>586</v>
      </c>
      <c r="C141" s="169" t="s">
        <v>587</v>
      </c>
      <c r="D141" s="177">
        <v>1263</v>
      </c>
      <c r="E141" s="185">
        <v>397</v>
      </c>
      <c r="F141" s="185">
        <v>86</v>
      </c>
      <c r="G141" s="185">
        <v>3</v>
      </c>
      <c r="H141" s="185">
        <v>12</v>
      </c>
      <c r="I141" s="185">
        <v>0</v>
      </c>
      <c r="J141" s="186">
        <f t="shared" si="22"/>
        <v>1761</v>
      </c>
      <c r="K141" s="234" t="str">
        <f t="shared" si="23"/>
        <v>S</v>
      </c>
      <c r="L141" s="174">
        <v>1</v>
      </c>
      <c r="M141" s="174"/>
      <c r="N141" s="174"/>
      <c r="O141" s="242">
        <f t="shared" si="24"/>
        <v>300000</v>
      </c>
      <c r="P141" s="195">
        <f>100000+100000+100000</f>
        <v>300000</v>
      </c>
      <c r="Q141" s="196">
        <f t="shared" si="25"/>
        <v>100</v>
      </c>
      <c r="S141" s="254">
        <v>43844</v>
      </c>
      <c r="U141" s="293">
        <v>100000</v>
      </c>
      <c r="V141" s="195">
        <v>100000</v>
      </c>
      <c r="W141" s="195">
        <v>100000</v>
      </c>
      <c r="X141" s="195">
        <f t="shared" si="26"/>
        <v>300000</v>
      </c>
      <c r="Y141" s="196">
        <f t="shared" si="21"/>
        <v>0</v>
      </c>
    </row>
    <row r="142" spans="1:25" s="2" customFormat="1" ht="21.75" customHeight="1" x14ac:dyDescent="0.35">
      <c r="A142" s="2">
        <v>10774</v>
      </c>
      <c r="B142" s="43" t="s">
        <v>588</v>
      </c>
      <c r="C142" s="43" t="s">
        <v>589</v>
      </c>
      <c r="D142" s="178">
        <v>1156</v>
      </c>
      <c r="E142" s="185">
        <v>412</v>
      </c>
      <c r="F142" s="185">
        <v>119</v>
      </c>
      <c r="G142" s="185">
        <v>23</v>
      </c>
      <c r="H142" s="185">
        <v>17</v>
      </c>
      <c r="I142" s="185">
        <v>0</v>
      </c>
      <c r="J142" s="186">
        <f t="shared" si="22"/>
        <v>1727</v>
      </c>
      <c r="K142" s="234" t="str">
        <f t="shared" si="23"/>
        <v>S</v>
      </c>
      <c r="L142" s="174">
        <v>1</v>
      </c>
      <c r="M142" s="174"/>
      <c r="N142" s="174"/>
      <c r="O142" s="242">
        <f t="shared" si="24"/>
        <v>300000</v>
      </c>
      <c r="P142" s="195">
        <f>100000+100000+80000</f>
        <v>280000</v>
      </c>
      <c r="Q142" s="196">
        <f t="shared" si="25"/>
        <v>93.333333333333329</v>
      </c>
      <c r="S142" s="254">
        <v>43844</v>
      </c>
      <c r="U142" s="293">
        <v>80000</v>
      </c>
      <c r="V142" s="195">
        <v>100000</v>
      </c>
      <c r="W142" s="195">
        <v>100000</v>
      </c>
      <c r="X142" s="195">
        <f t="shared" si="26"/>
        <v>280000</v>
      </c>
      <c r="Y142" s="196">
        <f t="shared" si="21"/>
        <v>0</v>
      </c>
    </row>
    <row r="143" spans="1:25" s="2" customFormat="1" ht="21.75" customHeight="1" x14ac:dyDescent="0.35">
      <c r="A143" s="2">
        <v>10774</v>
      </c>
      <c r="B143" s="169" t="s">
        <v>590</v>
      </c>
      <c r="C143" s="169" t="s">
        <v>591</v>
      </c>
      <c r="D143" s="177">
        <v>1265</v>
      </c>
      <c r="E143" s="185">
        <v>568</v>
      </c>
      <c r="F143" s="185">
        <v>226</v>
      </c>
      <c r="G143" s="185">
        <v>10</v>
      </c>
      <c r="H143" s="185">
        <v>20</v>
      </c>
      <c r="I143" s="185">
        <v>0</v>
      </c>
      <c r="J143" s="186">
        <f t="shared" si="22"/>
        <v>2089</v>
      </c>
      <c r="K143" s="234" t="str">
        <f t="shared" si="23"/>
        <v>S</v>
      </c>
      <c r="L143" s="174">
        <v>1</v>
      </c>
      <c r="M143" s="174"/>
      <c r="N143" s="174"/>
      <c r="O143" s="242">
        <f t="shared" si="24"/>
        <v>300000</v>
      </c>
      <c r="P143" s="195">
        <f>100000+100000+100000</f>
        <v>300000</v>
      </c>
      <c r="Q143" s="196">
        <f t="shared" si="25"/>
        <v>100</v>
      </c>
      <c r="S143" s="254">
        <v>43844</v>
      </c>
      <c r="U143" s="293">
        <v>100000</v>
      </c>
      <c r="V143" s="195">
        <v>100000</v>
      </c>
      <c r="W143" s="195">
        <v>100000</v>
      </c>
      <c r="X143" s="195">
        <f t="shared" si="26"/>
        <v>300000</v>
      </c>
      <c r="Y143" s="196">
        <f t="shared" si="21"/>
        <v>0</v>
      </c>
    </row>
    <row r="144" spans="1:25" s="2" customFormat="1" ht="21.75" customHeight="1" x14ac:dyDescent="0.35">
      <c r="A144" s="2">
        <v>10774</v>
      </c>
      <c r="B144" s="43" t="s">
        <v>592</v>
      </c>
      <c r="C144" s="43" t="s">
        <v>593</v>
      </c>
      <c r="D144" s="178">
        <v>838</v>
      </c>
      <c r="E144" s="185">
        <v>279</v>
      </c>
      <c r="F144" s="185">
        <v>52</v>
      </c>
      <c r="G144" s="185">
        <v>7</v>
      </c>
      <c r="H144" s="185">
        <v>8</v>
      </c>
      <c r="I144" s="185">
        <v>0</v>
      </c>
      <c r="J144" s="186">
        <f t="shared" si="22"/>
        <v>1184</v>
      </c>
      <c r="K144" s="234" t="str">
        <f t="shared" si="23"/>
        <v>S</v>
      </c>
      <c r="L144" s="174">
        <v>1</v>
      </c>
      <c r="M144" s="174"/>
      <c r="N144" s="174"/>
      <c r="O144" s="242">
        <f t="shared" si="24"/>
        <v>300000</v>
      </c>
      <c r="P144" s="195">
        <f>100000+100000+100000</f>
        <v>300000</v>
      </c>
      <c r="Q144" s="196">
        <f t="shared" si="25"/>
        <v>100</v>
      </c>
      <c r="S144" s="254">
        <v>43844</v>
      </c>
      <c r="U144" s="293">
        <v>100000</v>
      </c>
      <c r="V144" s="195">
        <v>100000</v>
      </c>
      <c r="W144" s="195">
        <v>100000</v>
      </c>
      <c r="X144" s="195">
        <f t="shared" si="26"/>
        <v>300000</v>
      </c>
      <c r="Y144" s="196">
        <f t="shared" si="21"/>
        <v>0</v>
      </c>
    </row>
    <row r="145" spans="1:25" s="2" customFormat="1" ht="21.75" customHeight="1" x14ac:dyDescent="0.35">
      <c r="A145" s="2">
        <v>10774</v>
      </c>
      <c r="B145" s="169" t="s">
        <v>594</v>
      </c>
      <c r="C145" s="169" t="s">
        <v>375</v>
      </c>
      <c r="D145" s="177">
        <v>928</v>
      </c>
      <c r="E145" s="185">
        <v>369</v>
      </c>
      <c r="F145" s="185">
        <v>97</v>
      </c>
      <c r="G145" s="185">
        <v>9</v>
      </c>
      <c r="H145" s="185">
        <v>11</v>
      </c>
      <c r="I145" s="185">
        <v>1</v>
      </c>
      <c r="J145" s="186">
        <f t="shared" si="22"/>
        <v>1415</v>
      </c>
      <c r="K145" s="234" t="str">
        <f t="shared" si="23"/>
        <v>S</v>
      </c>
      <c r="L145" s="174">
        <v>1</v>
      </c>
      <c r="M145" s="174"/>
      <c r="N145" s="174"/>
      <c r="O145" s="242">
        <f t="shared" si="24"/>
        <v>300000</v>
      </c>
      <c r="P145" s="195">
        <f>100000+90000+60000</f>
        <v>250000</v>
      </c>
      <c r="Q145" s="196">
        <f t="shared" si="25"/>
        <v>83.333333333333329</v>
      </c>
      <c r="S145" s="254">
        <v>43844</v>
      </c>
      <c r="U145" s="293">
        <v>60000</v>
      </c>
      <c r="V145" s="195">
        <v>100000</v>
      </c>
      <c r="W145" s="195">
        <v>90000</v>
      </c>
      <c r="X145" s="195">
        <f t="shared" si="26"/>
        <v>250000</v>
      </c>
      <c r="Y145" s="196">
        <f t="shared" si="21"/>
        <v>0</v>
      </c>
    </row>
    <row r="146" spans="1:25" s="2" customFormat="1" ht="21.75" customHeight="1" x14ac:dyDescent="0.35">
      <c r="A146" s="2">
        <v>10774</v>
      </c>
      <c r="B146" s="43" t="s">
        <v>595</v>
      </c>
      <c r="C146" s="43" t="s">
        <v>596</v>
      </c>
      <c r="D146" s="178">
        <v>1287</v>
      </c>
      <c r="E146" s="185">
        <v>475</v>
      </c>
      <c r="F146" s="185">
        <v>142</v>
      </c>
      <c r="G146" s="185">
        <v>13</v>
      </c>
      <c r="H146" s="185">
        <v>17</v>
      </c>
      <c r="I146" s="185">
        <v>1</v>
      </c>
      <c r="J146" s="186">
        <f t="shared" si="22"/>
        <v>1935</v>
      </c>
      <c r="K146" s="234" t="str">
        <f t="shared" si="23"/>
        <v>S</v>
      </c>
      <c r="L146" s="174">
        <v>1</v>
      </c>
      <c r="M146" s="174"/>
      <c r="N146" s="174"/>
      <c r="O146" s="242">
        <f t="shared" si="24"/>
        <v>300000</v>
      </c>
      <c r="P146" s="195">
        <f>100000+90000+110000</f>
        <v>300000</v>
      </c>
      <c r="Q146" s="196">
        <f t="shared" si="25"/>
        <v>100</v>
      </c>
      <c r="S146" s="254">
        <v>43844</v>
      </c>
      <c r="U146" s="293">
        <v>110000</v>
      </c>
      <c r="V146" s="195">
        <v>100000</v>
      </c>
      <c r="W146" s="195">
        <v>90000</v>
      </c>
      <c r="X146" s="195">
        <f t="shared" si="26"/>
        <v>300000</v>
      </c>
      <c r="Y146" s="196">
        <f t="shared" si="21"/>
        <v>0</v>
      </c>
    </row>
    <row r="147" spans="1:25" s="2" customFormat="1" ht="21.75" customHeight="1" x14ac:dyDescent="0.35">
      <c r="A147" s="2">
        <v>10774</v>
      </c>
      <c r="B147" s="169" t="s">
        <v>597</v>
      </c>
      <c r="C147" s="169" t="s">
        <v>598</v>
      </c>
      <c r="D147" s="177">
        <v>3850</v>
      </c>
      <c r="E147" s="185">
        <v>1279</v>
      </c>
      <c r="F147" s="185">
        <v>237</v>
      </c>
      <c r="G147" s="185">
        <v>89</v>
      </c>
      <c r="H147" s="185">
        <v>53</v>
      </c>
      <c r="I147" s="185">
        <v>3</v>
      </c>
      <c r="J147" s="186">
        <f t="shared" si="22"/>
        <v>5511</v>
      </c>
      <c r="K147" s="234" t="str">
        <f t="shared" si="23"/>
        <v>M</v>
      </c>
      <c r="L147" s="174"/>
      <c r="M147" s="174">
        <v>1</v>
      </c>
      <c r="N147" s="174"/>
      <c r="O147" s="242">
        <f t="shared" si="24"/>
        <v>330000</v>
      </c>
      <c r="P147" s="195">
        <f>100000+160000+160000</f>
        <v>420000</v>
      </c>
      <c r="Q147" s="196">
        <f t="shared" si="25"/>
        <v>127.27272727272727</v>
      </c>
      <c r="S147" s="254">
        <v>43844</v>
      </c>
      <c r="U147" s="293">
        <v>160000</v>
      </c>
      <c r="V147" s="195">
        <v>100000</v>
      </c>
      <c r="W147" s="195">
        <v>160000</v>
      </c>
      <c r="X147" s="195">
        <f t="shared" si="26"/>
        <v>420000</v>
      </c>
      <c r="Y147" s="196">
        <f t="shared" si="21"/>
        <v>0</v>
      </c>
    </row>
    <row r="148" spans="1:25" s="2" customFormat="1" ht="21.75" customHeight="1" x14ac:dyDescent="0.35">
      <c r="A148" s="2">
        <v>10774</v>
      </c>
      <c r="B148" s="43" t="s">
        <v>599</v>
      </c>
      <c r="C148" s="43" t="s">
        <v>600</v>
      </c>
      <c r="D148" s="178">
        <v>2444</v>
      </c>
      <c r="E148" s="185">
        <v>734</v>
      </c>
      <c r="F148" s="185">
        <v>232</v>
      </c>
      <c r="G148" s="185">
        <v>34</v>
      </c>
      <c r="H148" s="185">
        <v>23</v>
      </c>
      <c r="I148" s="185">
        <v>0</v>
      </c>
      <c r="J148" s="186">
        <f t="shared" si="22"/>
        <v>3467</v>
      </c>
      <c r="K148" s="234" t="str">
        <f t="shared" si="23"/>
        <v>M</v>
      </c>
      <c r="L148" s="174"/>
      <c r="M148" s="174">
        <v>1</v>
      </c>
      <c r="N148" s="174"/>
      <c r="O148" s="242">
        <f t="shared" si="24"/>
        <v>330000</v>
      </c>
      <c r="P148" s="195">
        <f>110000+160000+180000</f>
        <v>450000</v>
      </c>
      <c r="Q148" s="196">
        <f t="shared" si="25"/>
        <v>136.36363636363637</v>
      </c>
      <c r="S148" s="254">
        <v>43844</v>
      </c>
      <c r="U148" s="293">
        <v>180000</v>
      </c>
      <c r="V148" s="195">
        <v>110000</v>
      </c>
      <c r="W148" s="195">
        <v>160000</v>
      </c>
      <c r="X148" s="195">
        <f t="shared" si="26"/>
        <v>450000</v>
      </c>
      <c r="Y148" s="196">
        <f t="shared" si="21"/>
        <v>0</v>
      </c>
    </row>
    <row r="149" spans="1:25" s="2" customFormat="1" ht="21.75" customHeight="1" x14ac:dyDescent="0.35">
      <c r="A149" s="2">
        <v>10774</v>
      </c>
      <c r="B149" s="169" t="s">
        <v>601</v>
      </c>
      <c r="C149" s="169" t="s">
        <v>602</v>
      </c>
      <c r="D149" s="177">
        <v>1461</v>
      </c>
      <c r="E149" s="185">
        <v>441</v>
      </c>
      <c r="F149" s="185">
        <v>145</v>
      </c>
      <c r="G149" s="185">
        <v>15</v>
      </c>
      <c r="H149" s="185">
        <v>30</v>
      </c>
      <c r="I149" s="185">
        <v>3</v>
      </c>
      <c r="J149" s="186">
        <f t="shared" si="22"/>
        <v>2095</v>
      </c>
      <c r="K149" s="234" t="str">
        <f t="shared" si="23"/>
        <v>S</v>
      </c>
      <c r="L149" s="174">
        <v>1</v>
      </c>
      <c r="M149" s="174"/>
      <c r="N149" s="174"/>
      <c r="O149" s="242">
        <f t="shared" si="24"/>
        <v>300000</v>
      </c>
      <c r="P149" s="195">
        <f>100000+90000+70000</f>
        <v>260000</v>
      </c>
      <c r="Q149" s="196">
        <f t="shared" si="25"/>
        <v>86.666666666666671</v>
      </c>
      <c r="S149" s="254">
        <v>43844</v>
      </c>
      <c r="U149" s="293">
        <v>70000</v>
      </c>
      <c r="V149" s="195">
        <v>100000</v>
      </c>
      <c r="W149" s="195">
        <v>90000</v>
      </c>
      <c r="X149" s="195">
        <f t="shared" si="26"/>
        <v>260000</v>
      </c>
      <c r="Y149" s="196">
        <f t="shared" si="21"/>
        <v>0</v>
      </c>
    </row>
    <row r="150" spans="1:25" s="2" customFormat="1" ht="21.75" customHeight="1" x14ac:dyDescent="0.35">
      <c r="A150" s="2">
        <v>10774</v>
      </c>
      <c r="B150" s="43" t="s">
        <v>603</v>
      </c>
      <c r="C150" s="43" t="s">
        <v>604</v>
      </c>
      <c r="D150" s="178">
        <v>1206</v>
      </c>
      <c r="E150" s="185">
        <v>573</v>
      </c>
      <c r="F150" s="185">
        <v>219</v>
      </c>
      <c r="G150" s="185">
        <v>16</v>
      </c>
      <c r="H150" s="185">
        <v>34</v>
      </c>
      <c r="I150" s="185">
        <v>0</v>
      </c>
      <c r="J150" s="186">
        <f t="shared" si="22"/>
        <v>2048</v>
      </c>
      <c r="K150" s="234" t="str">
        <f t="shared" si="23"/>
        <v>S</v>
      </c>
      <c r="L150" s="174">
        <v>1</v>
      </c>
      <c r="M150" s="174"/>
      <c r="N150" s="174"/>
      <c r="O150" s="242">
        <f t="shared" si="24"/>
        <v>300000</v>
      </c>
      <c r="P150" s="195">
        <f>100000+80000+100000</f>
        <v>280000</v>
      </c>
      <c r="Q150" s="196">
        <f t="shared" si="25"/>
        <v>93.333333333333329</v>
      </c>
      <c r="S150" s="254">
        <v>43844</v>
      </c>
      <c r="U150" s="293">
        <v>100000</v>
      </c>
      <c r="V150" s="195">
        <v>100000</v>
      </c>
      <c r="W150" s="195">
        <v>80000</v>
      </c>
      <c r="X150" s="195">
        <f t="shared" si="26"/>
        <v>280000</v>
      </c>
      <c r="Y150" s="196">
        <f t="shared" si="21"/>
        <v>0</v>
      </c>
    </row>
    <row r="151" spans="1:25" s="2" customFormat="1" ht="21.75" customHeight="1" x14ac:dyDescent="0.35">
      <c r="A151" s="2">
        <v>10775</v>
      </c>
      <c r="B151" s="43" t="s">
        <v>607</v>
      </c>
      <c r="C151" s="43" t="s">
        <v>608</v>
      </c>
      <c r="D151" s="178">
        <v>1838</v>
      </c>
      <c r="E151" s="185">
        <v>1173</v>
      </c>
      <c r="F151" s="185">
        <v>250</v>
      </c>
      <c r="G151" s="185">
        <v>27</v>
      </c>
      <c r="H151" s="185">
        <v>55</v>
      </c>
      <c r="I151" s="185">
        <v>2</v>
      </c>
      <c r="J151" s="186">
        <f t="shared" si="22"/>
        <v>3345</v>
      </c>
      <c r="K151" s="194" t="str">
        <f t="shared" si="23"/>
        <v>M</v>
      </c>
      <c r="L151" s="174"/>
      <c r="M151" s="174">
        <v>1</v>
      </c>
      <c r="N151" s="174"/>
      <c r="O151" s="195">
        <f t="shared" si="24"/>
        <v>330000</v>
      </c>
      <c r="P151" s="195">
        <f>210000+85000</f>
        <v>295000</v>
      </c>
      <c r="Q151" s="196">
        <f>+P151*100/O151</f>
        <v>89.393939393939391</v>
      </c>
      <c r="U151" s="195"/>
      <c r="V151" s="195">
        <v>85000</v>
      </c>
      <c r="W151" s="195">
        <v>210000</v>
      </c>
      <c r="X151" s="2">
        <f>SUBTOTAL(9,U151:W151)</f>
        <v>295000</v>
      </c>
      <c r="Y151" s="196">
        <f>+P151-X151</f>
        <v>0</v>
      </c>
    </row>
    <row r="152" spans="1:25" s="2" customFormat="1" ht="21.75" customHeight="1" x14ac:dyDescent="0.35">
      <c r="A152" s="2">
        <v>10775</v>
      </c>
      <c r="B152" s="169" t="s">
        <v>609</v>
      </c>
      <c r="C152" s="169" t="s">
        <v>610</v>
      </c>
      <c r="D152" s="177">
        <v>3038</v>
      </c>
      <c r="E152" s="185">
        <v>1276</v>
      </c>
      <c r="F152" s="185">
        <v>176</v>
      </c>
      <c r="G152" s="185">
        <v>31</v>
      </c>
      <c r="H152" s="185">
        <v>31</v>
      </c>
      <c r="I152" s="185">
        <v>1</v>
      </c>
      <c r="J152" s="186">
        <f t="shared" si="22"/>
        <v>4553</v>
      </c>
      <c r="K152" s="194" t="str">
        <f t="shared" si="23"/>
        <v>M</v>
      </c>
      <c r="L152" s="174"/>
      <c r="M152" s="174">
        <v>1</v>
      </c>
      <c r="N152" s="174"/>
      <c r="O152" s="195">
        <f t="shared" si="24"/>
        <v>330000</v>
      </c>
      <c r="P152" s="195">
        <f>283500+94000</f>
        <v>377500</v>
      </c>
      <c r="Q152" s="196">
        <f t="shared" ref="Q152:Q157" si="27">+P152*100/O152</f>
        <v>114.39393939393939</v>
      </c>
      <c r="U152" s="195"/>
      <c r="V152" s="195">
        <v>94000</v>
      </c>
      <c r="W152" s="195">
        <v>283500</v>
      </c>
      <c r="X152" s="2">
        <f t="shared" ref="X152:X165" si="28">SUBTOTAL(9,U152:W152)</f>
        <v>377500</v>
      </c>
      <c r="Y152" s="196">
        <f t="shared" ref="Y152:Y165" si="29">+P152-X152</f>
        <v>0</v>
      </c>
    </row>
    <row r="153" spans="1:25" s="2" customFormat="1" ht="21.75" customHeight="1" x14ac:dyDescent="0.35">
      <c r="A153" s="2">
        <v>10775</v>
      </c>
      <c r="B153" s="43" t="s">
        <v>611</v>
      </c>
      <c r="C153" s="43" t="s">
        <v>612</v>
      </c>
      <c r="D153" s="178">
        <v>1943</v>
      </c>
      <c r="E153" s="185">
        <v>841</v>
      </c>
      <c r="F153" s="185">
        <v>213</v>
      </c>
      <c r="G153" s="185">
        <v>21</v>
      </c>
      <c r="H153" s="185">
        <v>30</v>
      </c>
      <c r="I153" s="185">
        <v>1</v>
      </c>
      <c r="J153" s="186">
        <f t="shared" si="22"/>
        <v>3049</v>
      </c>
      <c r="K153" s="194" t="str">
        <f t="shared" si="23"/>
        <v>M</v>
      </c>
      <c r="L153" s="174"/>
      <c r="M153" s="174">
        <v>1</v>
      </c>
      <c r="N153" s="174"/>
      <c r="O153" s="195">
        <f t="shared" si="24"/>
        <v>330000</v>
      </c>
      <c r="P153" s="195">
        <f>231000+94000</f>
        <v>325000</v>
      </c>
      <c r="Q153" s="196">
        <f t="shared" si="27"/>
        <v>98.484848484848484</v>
      </c>
      <c r="U153" s="195"/>
      <c r="V153" s="195">
        <v>94000</v>
      </c>
      <c r="W153" s="195">
        <v>231000</v>
      </c>
      <c r="X153" s="2">
        <f t="shared" si="28"/>
        <v>325000</v>
      </c>
      <c r="Y153" s="196">
        <f t="shared" si="29"/>
        <v>0</v>
      </c>
    </row>
    <row r="154" spans="1:25" s="2" customFormat="1" ht="21.75" customHeight="1" x14ac:dyDescent="0.35">
      <c r="A154" s="2">
        <v>10775</v>
      </c>
      <c r="B154" s="169" t="s">
        <v>613</v>
      </c>
      <c r="C154" s="169" t="s">
        <v>614</v>
      </c>
      <c r="D154" s="177">
        <v>1592</v>
      </c>
      <c r="E154" s="185">
        <v>745</v>
      </c>
      <c r="F154" s="185">
        <v>252</v>
      </c>
      <c r="G154" s="185">
        <v>11</v>
      </c>
      <c r="H154" s="185">
        <v>39</v>
      </c>
      <c r="I154" s="185">
        <v>1</v>
      </c>
      <c r="J154" s="186">
        <f t="shared" si="22"/>
        <v>2640</v>
      </c>
      <c r="K154" s="194" t="str">
        <f t="shared" si="23"/>
        <v>S</v>
      </c>
      <c r="L154" s="174">
        <v>1</v>
      </c>
      <c r="M154" s="174"/>
      <c r="N154" s="174"/>
      <c r="O154" s="195">
        <f t="shared" si="24"/>
        <v>300000</v>
      </c>
      <c r="P154" s="195">
        <f>210000+85000+15000</f>
        <v>310000</v>
      </c>
      <c r="Q154" s="196">
        <f t="shared" si="27"/>
        <v>103.33333333333333</v>
      </c>
      <c r="U154" s="195">
        <v>15000</v>
      </c>
      <c r="V154" s="195">
        <v>85000</v>
      </c>
      <c r="W154" s="195">
        <v>210000</v>
      </c>
      <c r="X154" s="2">
        <f t="shared" si="28"/>
        <v>310000</v>
      </c>
      <c r="Y154" s="196">
        <f t="shared" si="29"/>
        <v>0</v>
      </c>
    </row>
    <row r="155" spans="1:25" s="2" customFormat="1" ht="21.75" customHeight="1" x14ac:dyDescent="0.35">
      <c r="A155" s="2">
        <v>10775</v>
      </c>
      <c r="B155" s="43" t="s">
        <v>615</v>
      </c>
      <c r="C155" s="43" t="s">
        <v>616</v>
      </c>
      <c r="D155" s="178">
        <v>2099</v>
      </c>
      <c r="E155" s="185">
        <v>1149</v>
      </c>
      <c r="F155" s="185">
        <v>264</v>
      </c>
      <c r="G155" s="185">
        <v>28</v>
      </c>
      <c r="H155" s="185">
        <v>51</v>
      </c>
      <c r="I155" s="185">
        <v>2</v>
      </c>
      <c r="J155" s="186">
        <f t="shared" si="22"/>
        <v>3593</v>
      </c>
      <c r="K155" s="194" t="str">
        <f t="shared" si="23"/>
        <v>M</v>
      </c>
      <c r="L155" s="174"/>
      <c r="M155" s="174">
        <v>1</v>
      </c>
      <c r="N155" s="174"/>
      <c r="O155" s="195">
        <f t="shared" si="24"/>
        <v>330000</v>
      </c>
      <c r="P155" s="195">
        <f>231000+94000</f>
        <v>325000</v>
      </c>
      <c r="Q155" s="196">
        <f t="shared" si="27"/>
        <v>98.484848484848484</v>
      </c>
      <c r="U155" s="195"/>
      <c r="V155" s="195">
        <v>85000</v>
      </c>
      <c r="W155" s="195">
        <v>240000</v>
      </c>
      <c r="X155" s="2">
        <f t="shared" si="28"/>
        <v>325000</v>
      </c>
      <c r="Y155" s="196">
        <f t="shared" si="29"/>
        <v>0</v>
      </c>
    </row>
    <row r="156" spans="1:25" s="2" customFormat="1" ht="21.75" customHeight="1" x14ac:dyDescent="0.35">
      <c r="A156" s="2">
        <v>10775</v>
      </c>
      <c r="B156" s="169" t="s">
        <v>617</v>
      </c>
      <c r="C156" s="169" t="s">
        <v>618</v>
      </c>
      <c r="D156" s="177">
        <v>2189</v>
      </c>
      <c r="E156" s="185">
        <v>1136</v>
      </c>
      <c r="F156" s="185">
        <v>185</v>
      </c>
      <c r="G156" s="185">
        <v>24</v>
      </c>
      <c r="H156" s="185">
        <v>35</v>
      </c>
      <c r="I156" s="185">
        <v>2</v>
      </c>
      <c r="J156" s="186">
        <f t="shared" si="22"/>
        <v>3571</v>
      </c>
      <c r="K156" s="194" t="str">
        <f t="shared" si="23"/>
        <v>M</v>
      </c>
      <c r="L156" s="174"/>
      <c r="M156" s="174">
        <v>1</v>
      </c>
      <c r="N156" s="174"/>
      <c r="O156" s="195">
        <f t="shared" si="24"/>
        <v>330000</v>
      </c>
      <c r="P156" s="195">
        <f>178500+94000+20000</f>
        <v>292500</v>
      </c>
      <c r="Q156" s="196">
        <f t="shared" si="27"/>
        <v>88.63636363636364</v>
      </c>
      <c r="U156" s="195">
        <v>20000</v>
      </c>
      <c r="V156" s="195">
        <v>94000</v>
      </c>
      <c r="W156" s="195">
        <v>178500</v>
      </c>
      <c r="X156" s="2">
        <f t="shared" si="28"/>
        <v>292500</v>
      </c>
      <c r="Y156" s="196">
        <f t="shared" si="29"/>
        <v>0</v>
      </c>
    </row>
    <row r="157" spans="1:25" s="2" customFormat="1" ht="21.75" customHeight="1" x14ac:dyDescent="0.35">
      <c r="A157" s="2">
        <v>10775</v>
      </c>
      <c r="B157" s="43" t="s">
        <v>619</v>
      </c>
      <c r="C157" s="43" t="s">
        <v>620</v>
      </c>
      <c r="D157" s="178">
        <v>1540</v>
      </c>
      <c r="E157" s="185">
        <v>722</v>
      </c>
      <c r="F157" s="185">
        <v>108</v>
      </c>
      <c r="G157" s="185">
        <v>10</v>
      </c>
      <c r="H157" s="185">
        <v>18</v>
      </c>
      <c r="I157" s="185">
        <v>1</v>
      </c>
      <c r="J157" s="186">
        <f t="shared" si="22"/>
        <v>2399</v>
      </c>
      <c r="K157" s="194" t="str">
        <f t="shared" si="23"/>
        <v>S</v>
      </c>
      <c r="L157" s="174">
        <v>1</v>
      </c>
      <c r="M157" s="174"/>
      <c r="N157" s="174"/>
      <c r="O157" s="195">
        <f t="shared" si="24"/>
        <v>300000</v>
      </c>
      <c r="P157" s="195">
        <f>210000+85000</f>
        <v>295000</v>
      </c>
      <c r="Q157" s="196">
        <f t="shared" si="27"/>
        <v>98.333333333333329</v>
      </c>
      <c r="U157" s="195"/>
      <c r="V157" s="195">
        <v>85000</v>
      </c>
      <c r="W157" s="195">
        <v>210000</v>
      </c>
      <c r="X157" s="2">
        <f t="shared" si="28"/>
        <v>295000</v>
      </c>
      <c r="Y157" s="196">
        <f t="shared" si="29"/>
        <v>0</v>
      </c>
    </row>
    <row r="158" spans="1:25" s="223" customFormat="1" ht="21.75" customHeight="1" x14ac:dyDescent="0.35">
      <c r="A158" s="223">
        <v>10776</v>
      </c>
      <c r="B158" s="224" t="s">
        <v>384</v>
      </c>
      <c r="C158" s="224" t="s">
        <v>385</v>
      </c>
      <c r="D158" s="225">
        <v>3708</v>
      </c>
      <c r="E158" s="226">
        <v>1083</v>
      </c>
      <c r="F158" s="226">
        <v>237</v>
      </c>
      <c r="G158" s="226">
        <v>42</v>
      </c>
      <c r="H158" s="226">
        <v>37</v>
      </c>
      <c r="I158" s="226">
        <v>2</v>
      </c>
      <c r="J158" s="227">
        <f>SUM(D158:I158)</f>
        <v>5109</v>
      </c>
      <c r="K158" s="234" t="str">
        <f t="shared" si="23"/>
        <v>M</v>
      </c>
      <c r="L158" s="228"/>
      <c r="M158" s="228">
        <v>1</v>
      </c>
      <c r="N158" s="228"/>
      <c r="O158" s="235">
        <f t="shared" si="24"/>
        <v>330000</v>
      </c>
      <c r="P158" s="232">
        <f>165000+165000</f>
        <v>330000</v>
      </c>
      <c r="Q158" s="233">
        <f>+P158*100/O158</f>
        <v>100</v>
      </c>
      <c r="V158" s="223">
        <v>165000</v>
      </c>
      <c r="W158" s="223">
        <v>165000</v>
      </c>
      <c r="X158" s="2">
        <f t="shared" si="28"/>
        <v>330000</v>
      </c>
      <c r="Y158" s="196">
        <f t="shared" si="29"/>
        <v>0</v>
      </c>
    </row>
    <row r="159" spans="1:25" s="223" customFormat="1" ht="21.75" customHeight="1" x14ac:dyDescent="0.35">
      <c r="A159" s="223">
        <v>10776</v>
      </c>
      <c r="B159" s="229" t="s">
        <v>629</v>
      </c>
      <c r="C159" s="229" t="s">
        <v>630</v>
      </c>
      <c r="D159" s="230">
        <v>2425</v>
      </c>
      <c r="E159" s="226">
        <v>813</v>
      </c>
      <c r="F159" s="226">
        <v>113</v>
      </c>
      <c r="G159" s="226">
        <v>13</v>
      </c>
      <c r="H159" s="226">
        <v>22</v>
      </c>
      <c r="I159" s="226">
        <v>2</v>
      </c>
      <c r="J159" s="227">
        <f t="shared" si="22"/>
        <v>3388</v>
      </c>
      <c r="K159" s="234" t="str">
        <f t="shared" si="23"/>
        <v>M</v>
      </c>
      <c r="L159" s="228">
        <v>1</v>
      </c>
      <c r="M159" s="228"/>
      <c r="N159" s="228"/>
      <c r="O159" s="235">
        <f t="shared" si="24"/>
        <v>330000</v>
      </c>
      <c r="P159" s="232">
        <f>165000+165000</f>
        <v>330000</v>
      </c>
      <c r="Q159" s="233">
        <f t="shared" ref="Q159:Q165" si="30">+P159*100/O159</f>
        <v>100</v>
      </c>
      <c r="V159" s="223">
        <v>165000</v>
      </c>
      <c r="W159" s="223">
        <v>165000</v>
      </c>
      <c r="X159" s="2">
        <f t="shared" si="28"/>
        <v>330000</v>
      </c>
      <c r="Y159" s="196">
        <f t="shared" si="29"/>
        <v>0</v>
      </c>
    </row>
    <row r="160" spans="1:25" s="223" customFormat="1" ht="21.75" customHeight="1" x14ac:dyDescent="0.35">
      <c r="A160" s="223">
        <v>10776</v>
      </c>
      <c r="B160" s="224" t="s">
        <v>386</v>
      </c>
      <c r="C160" s="224" t="s">
        <v>387</v>
      </c>
      <c r="D160" s="225">
        <v>3048</v>
      </c>
      <c r="E160" s="226">
        <v>936</v>
      </c>
      <c r="F160" s="226">
        <v>220</v>
      </c>
      <c r="G160" s="226">
        <v>10</v>
      </c>
      <c r="H160" s="226">
        <v>40</v>
      </c>
      <c r="I160" s="226">
        <v>1</v>
      </c>
      <c r="J160" s="227">
        <f t="shared" si="22"/>
        <v>4255</v>
      </c>
      <c r="K160" s="234" t="str">
        <f t="shared" si="23"/>
        <v>M</v>
      </c>
      <c r="L160" s="228"/>
      <c r="M160" s="228">
        <v>1</v>
      </c>
      <c r="N160" s="228"/>
      <c r="O160" s="235">
        <f t="shared" si="24"/>
        <v>330000</v>
      </c>
      <c r="P160" s="232">
        <f>165000+165000</f>
        <v>330000</v>
      </c>
      <c r="Q160" s="233">
        <f t="shared" si="30"/>
        <v>100</v>
      </c>
      <c r="V160" s="223">
        <v>165000</v>
      </c>
      <c r="W160" s="223">
        <v>165000</v>
      </c>
      <c r="X160" s="2">
        <f t="shared" si="28"/>
        <v>330000</v>
      </c>
      <c r="Y160" s="196">
        <f t="shared" si="29"/>
        <v>0</v>
      </c>
    </row>
    <row r="161" spans="1:25" s="223" customFormat="1" ht="21.75" customHeight="1" x14ac:dyDescent="0.35">
      <c r="A161" s="223">
        <v>10776</v>
      </c>
      <c r="B161" s="229" t="s">
        <v>631</v>
      </c>
      <c r="C161" s="229" t="s">
        <v>632</v>
      </c>
      <c r="D161" s="230">
        <v>2344</v>
      </c>
      <c r="E161" s="226">
        <v>794</v>
      </c>
      <c r="F161" s="226">
        <v>143</v>
      </c>
      <c r="G161" s="226">
        <v>16</v>
      </c>
      <c r="H161" s="226">
        <v>16</v>
      </c>
      <c r="I161" s="226">
        <v>1</v>
      </c>
      <c r="J161" s="227">
        <f t="shared" si="22"/>
        <v>3314</v>
      </c>
      <c r="K161" s="234" t="str">
        <f t="shared" si="23"/>
        <v>M</v>
      </c>
      <c r="L161" s="228">
        <v>1</v>
      </c>
      <c r="M161" s="228"/>
      <c r="N161" s="228"/>
      <c r="O161" s="235">
        <f t="shared" si="24"/>
        <v>330000</v>
      </c>
      <c r="P161" s="232">
        <f>165000+165000</f>
        <v>330000</v>
      </c>
      <c r="Q161" s="233">
        <f t="shared" si="30"/>
        <v>100</v>
      </c>
      <c r="V161" s="223">
        <v>165000</v>
      </c>
      <c r="W161" s="223">
        <v>165000</v>
      </c>
      <c r="X161" s="2">
        <f t="shared" si="28"/>
        <v>330000</v>
      </c>
      <c r="Y161" s="196">
        <f t="shared" si="29"/>
        <v>0</v>
      </c>
    </row>
    <row r="162" spans="1:25" s="223" customFormat="1" ht="21.75" customHeight="1" x14ac:dyDescent="0.35">
      <c r="A162" s="223">
        <v>10776</v>
      </c>
      <c r="B162" s="229" t="s">
        <v>388</v>
      </c>
      <c r="C162" s="229" t="s">
        <v>389</v>
      </c>
      <c r="D162" s="230">
        <v>1661</v>
      </c>
      <c r="E162" s="226">
        <v>741</v>
      </c>
      <c r="F162" s="226">
        <v>147</v>
      </c>
      <c r="G162" s="226">
        <v>34</v>
      </c>
      <c r="H162" s="226">
        <v>23</v>
      </c>
      <c r="I162" s="226">
        <v>1</v>
      </c>
      <c r="J162" s="227">
        <f t="shared" si="22"/>
        <v>2607</v>
      </c>
      <c r="K162" s="234" t="str">
        <f t="shared" si="23"/>
        <v>S</v>
      </c>
      <c r="L162" s="228">
        <v>1</v>
      </c>
      <c r="M162" s="228"/>
      <c r="N162" s="228"/>
      <c r="O162" s="235">
        <f t="shared" si="24"/>
        <v>300000</v>
      </c>
      <c r="P162" s="232">
        <f>150000+150000</f>
        <v>300000</v>
      </c>
      <c r="Q162" s="233">
        <f t="shared" si="30"/>
        <v>100</v>
      </c>
      <c r="V162" s="223">
        <v>150000</v>
      </c>
      <c r="W162" s="223">
        <v>150000</v>
      </c>
      <c r="X162" s="2">
        <f t="shared" si="28"/>
        <v>300000</v>
      </c>
      <c r="Y162" s="196">
        <f t="shared" si="29"/>
        <v>0</v>
      </c>
    </row>
    <row r="163" spans="1:25" s="223" customFormat="1" ht="21.75" customHeight="1" x14ac:dyDescent="0.35">
      <c r="A163" s="223">
        <v>10776</v>
      </c>
      <c r="B163" s="224" t="s">
        <v>390</v>
      </c>
      <c r="C163" s="224" t="s">
        <v>391</v>
      </c>
      <c r="D163" s="225">
        <v>3072</v>
      </c>
      <c r="E163" s="226">
        <v>802</v>
      </c>
      <c r="F163" s="226">
        <v>146</v>
      </c>
      <c r="G163" s="226">
        <v>58</v>
      </c>
      <c r="H163" s="226">
        <v>23</v>
      </c>
      <c r="I163" s="226">
        <v>0</v>
      </c>
      <c r="J163" s="227">
        <f t="shared" si="22"/>
        <v>4101</v>
      </c>
      <c r="K163" s="234" t="str">
        <f t="shared" si="23"/>
        <v>M</v>
      </c>
      <c r="L163" s="228"/>
      <c r="M163" s="228">
        <v>1</v>
      </c>
      <c r="N163" s="228"/>
      <c r="O163" s="235">
        <f t="shared" si="24"/>
        <v>330000</v>
      </c>
      <c r="P163" s="232">
        <f>165000+165000</f>
        <v>330000</v>
      </c>
      <c r="Q163" s="233">
        <f t="shared" si="30"/>
        <v>100</v>
      </c>
      <c r="V163" s="223">
        <v>165000</v>
      </c>
      <c r="W163" s="223">
        <v>165000</v>
      </c>
      <c r="X163" s="2">
        <f t="shared" si="28"/>
        <v>330000</v>
      </c>
      <c r="Y163" s="196">
        <f t="shared" si="29"/>
        <v>0</v>
      </c>
    </row>
    <row r="164" spans="1:25" s="223" customFormat="1" ht="21.75" customHeight="1" x14ac:dyDescent="0.35">
      <c r="A164" s="223">
        <v>10776</v>
      </c>
      <c r="B164" s="229" t="s">
        <v>633</v>
      </c>
      <c r="C164" s="229" t="s">
        <v>634</v>
      </c>
      <c r="D164" s="230">
        <v>2408</v>
      </c>
      <c r="E164" s="226">
        <v>711</v>
      </c>
      <c r="F164" s="226">
        <v>191</v>
      </c>
      <c r="G164" s="226">
        <v>11</v>
      </c>
      <c r="H164" s="226">
        <v>12</v>
      </c>
      <c r="I164" s="226">
        <v>1</v>
      </c>
      <c r="J164" s="227">
        <f t="shared" si="22"/>
        <v>3334</v>
      </c>
      <c r="K164" s="234" t="str">
        <f t="shared" si="23"/>
        <v>M</v>
      </c>
      <c r="L164" s="228"/>
      <c r="M164" s="228">
        <v>1</v>
      </c>
      <c r="N164" s="228"/>
      <c r="O164" s="235">
        <f t="shared" si="24"/>
        <v>330000</v>
      </c>
      <c r="P164" s="232">
        <f>165000+165000</f>
        <v>330000</v>
      </c>
      <c r="Q164" s="233">
        <f t="shared" si="30"/>
        <v>100</v>
      </c>
      <c r="V164" s="223">
        <v>165000</v>
      </c>
      <c r="W164" s="223">
        <v>165000</v>
      </c>
      <c r="X164" s="2">
        <f t="shared" si="28"/>
        <v>330000</v>
      </c>
      <c r="Y164" s="196">
        <f t="shared" si="29"/>
        <v>0</v>
      </c>
    </row>
    <row r="165" spans="1:25" s="223" customFormat="1" ht="21.75" customHeight="1" x14ac:dyDescent="0.35">
      <c r="A165" s="223">
        <v>10776</v>
      </c>
      <c r="B165" s="229" t="s">
        <v>430</v>
      </c>
      <c r="C165" s="229" t="s">
        <v>431</v>
      </c>
      <c r="D165" s="230">
        <v>4844</v>
      </c>
      <c r="E165" s="226">
        <v>1554</v>
      </c>
      <c r="F165" s="226">
        <v>461</v>
      </c>
      <c r="G165" s="226">
        <v>50</v>
      </c>
      <c r="H165" s="226">
        <v>62</v>
      </c>
      <c r="I165" s="226">
        <v>4</v>
      </c>
      <c r="J165" s="227">
        <f t="shared" si="22"/>
        <v>6975</v>
      </c>
      <c r="K165" s="234" t="str">
        <f t="shared" si="23"/>
        <v>M</v>
      </c>
      <c r="L165" s="228"/>
      <c r="M165" s="228">
        <v>1</v>
      </c>
      <c r="N165" s="228"/>
      <c r="O165" s="235">
        <f t="shared" si="24"/>
        <v>330000</v>
      </c>
      <c r="P165" s="232">
        <f>165000+165000</f>
        <v>330000</v>
      </c>
      <c r="Q165" s="233">
        <f t="shared" si="30"/>
        <v>100</v>
      </c>
      <c r="V165" s="223">
        <v>165000</v>
      </c>
      <c r="W165" s="223">
        <v>165000</v>
      </c>
      <c r="X165" s="2">
        <f t="shared" si="28"/>
        <v>330000</v>
      </c>
      <c r="Y165" s="196">
        <f t="shared" si="29"/>
        <v>0</v>
      </c>
    </row>
    <row r="166" spans="1:25" s="2" customFormat="1" ht="21.75" customHeight="1" x14ac:dyDescent="0.35">
      <c r="A166" s="2">
        <v>10777</v>
      </c>
      <c r="B166" s="172" t="s">
        <v>639</v>
      </c>
      <c r="C166" s="172" t="s">
        <v>640</v>
      </c>
      <c r="D166" s="181">
        <v>3018</v>
      </c>
      <c r="E166" s="185">
        <v>1393</v>
      </c>
      <c r="F166" s="185">
        <v>386</v>
      </c>
      <c r="G166" s="185">
        <v>33</v>
      </c>
      <c r="H166" s="185">
        <v>58</v>
      </c>
      <c r="I166" s="185">
        <v>6</v>
      </c>
      <c r="J166" s="186">
        <f t="shared" si="22"/>
        <v>4894</v>
      </c>
      <c r="K166" s="194" t="str">
        <f t="shared" ref="K166:K197" si="31">VLOOKUP(J166,$N$212:$O$215,2)</f>
        <v>M</v>
      </c>
      <c r="L166" s="174"/>
      <c r="M166" s="174">
        <v>1</v>
      </c>
      <c r="N166" s="174"/>
      <c r="O166" s="195">
        <f t="shared" si="24"/>
        <v>330000</v>
      </c>
      <c r="P166" s="195">
        <f>200000+150000+179160</f>
        <v>529160</v>
      </c>
      <c r="Q166" s="196">
        <f>+P166*100/O166</f>
        <v>160.35151515151514</v>
      </c>
      <c r="U166" s="195">
        <v>179160</v>
      </c>
      <c r="V166" s="195">
        <v>150000</v>
      </c>
      <c r="W166" s="195">
        <v>200000</v>
      </c>
      <c r="X166" s="195">
        <f>SUBTOTAL(9,U166:W166)</f>
        <v>529160</v>
      </c>
      <c r="Y166" s="196">
        <f>+X166-P166</f>
        <v>0</v>
      </c>
    </row>
    <row r="167" spans="1:25" s="2" customFormat="1" ht="21.75" customHeight="1" x14ac:dyDescent="0.35">
      <c r="A167" s="2">
        <v>10777</v>
      </c>
      <c r="B167" s="172" t="s">
        <v>641</v>
      </c>
      <c r="C167" s="172" t="s">
        <v>642</v>
      </c>
      <c r="D167" s="181">
        <v>7254</v>
      </c>
      <c r="E167" s="185">
        <v>4191</v>
      </c>
      <c r="F167" s="185">
        <v>819</v>
      </c>
      <c r="G167" s="185">
        <v>83</v>
      </c>
      <c r="H167" s="185">
        <v>151</v>
      </c>
      <c r="I167" s="185">
        <v>3</v>
      </c>
      <c r="J167" s="186">
        <f t="shared" si="22"/>
        <v>12501</v>
      </c>
      <c r="K167" s="194" t="str">
        <f t="shared" si="31"/>
        <v>L</v>
      </c>
      <c r="L167" s="174"/>
      <c r="M167" s="174"/>
      <c r="N167" s="174">
        <v>1</v>
      </c>
      <c r="O167" s="195">
        <f t="shared" si="24"/>
        <v>360000</v>
      </c>
      <c r="P167" s="195">
        <f>250000+300000+258920</f>
        <v>808920</v>
      </c>
      <c r="Q167" s="196">
        <f t="shared" ref="Q167:Q175" si="32">+P167*100/O167</f>
        <v>224.7</v>
      </c>
      <c r="U167" s="195">
        <v>258920</v>
      </c>
      <c r="V167" s="195">
        <v>300000</v>
      </c>
      <c r="W167" s="195">
        <v>250000</v>
      </c>
      <c r="X167" s="195">
        <f t="shared" ref="X167:X181" si="33">SUBTOTAL(9,U167:W167)</f>
        <v>808920</v>
      </c>
      <c r="Y167" s="196">
        <f t="shared" ref="Y167:Y209" si="34">+X167-P167</f>
        <v>0</v>
      </c>
    </row>
    <row r="168" spans="1:25" s="2" customFormat="1" ht="21.75" customHeight="1" x14ac:dyDescent="0.35">
      <c r="A168" s="2">
        <v>10777</v>
      </c>
      <c r="B168" s="173" t="s">
        <v>547</v>
      </c>
      <c r="C168" s="173" t="s">
        <v>548</v>
      </c>
      <c r="D168" s="182">
        <v>4761</v>
      </c>
      <c r="E168" s="185">
        <v>1830</v>
      </c>
      <c r="F168" s="185">
        <v>270</v>
      </c>
      <c r="G168" s="185">
        <v>21</v>
      </c>
      <c r="H168" s="185">
        <v>43</v>
      </c>
      <c r="I168" s="185">
        <v>0</v>
      </c>
      <c r="J168" s="186">
        <f t="shared" si="22"/>
        <v>6925</v>
      </c>
      <c r="K168" s="194" t="str">
        <f t="shared" si="31"/>
        <v>M</v>
      </c>
      <c r="L168" s="174"/>
      <c r="M168" s="174">
        <v>1</v>
      </c>
      <c r="N168" s="174"/>
      <c r="O168" s="195">
        <f t="shared" si="24"/>
        <v>330000</v>
      </c>
      <c r="P168" s="195">
        <f>200000+250000+263380</f>
        <v>713380</v>
      </c>
      <c r="Q168" s="196">
        <f t="shared" si="32"/>
        <v>216.17575757575759</v>
      </c>
      <c r="U168" s="195">
        <v>263380</v>
      </c>
      <c r="V168" s="195">
        <v>250000</v>
      </c>
      <c r="W168" s="195">
        <v>200000</v>
      </c>
      <c r="X168" s="195">
        <f t="shared" si="33"/>
        <v>713380</v>
      </c>
      <c r="Y168" s="196">
        <f t="shared" si="34"/>
        <v>0</v>
      </c>
    </row>
    <row r="169" spans="1:25" s="2" customFormat="1" ht="21.75" customHeight="1" x14ac:dyDescent="0.35">
      <c r="A169" s="2">
        <v>10777</v>
      </c>
      <c r="B169" s="172" t="s">
        <v>643</v>
      </c>
      <c r="C169" s="172" t="s">
        <v>644</v>
      </c>
      <c r="D169" s="181">
        <v>458</v>
      </c>
      <c r="E169" s="185">
        <v>65</v>
      </c>
      <c r="F169" s="185">
        <v>11</v>
      </c>
      <c r="G169" s="185">
        <v>3</v>
      </c>
      <c r="H169" s="185">
        <v>1</v>
      </c>
      <c r="I169" s="185">
        <v>1</v>
      </c>
      <c r="J169" s="186">
        <f t="shared" si="22"/>
        <v>539</v>
      </c>
      <c r="K169" s="194" t="str">
        <f t="shared" si="31"/>
        <v>S</v>
      </c>
      <c r="L169" s="174">
        <v>1</v>
      </c>
      <c r="M169" s="174"/>
      <c r="N169" s="174"/>
      <c r="O169" s="195">
        <f t="shared" si="24"/>
        <v>300000</v>
      </c>
      <c r="P169" s="195">
        <f>100000+150000+106520</f>
        <v>356520</v>
      </c>
      <c r="Q169" s="196">
        <f t="shared" si="32"/>
        <v>118.84</v>
      </c>
      <c r="U169" s="195">
        <v>106520</v>
      </c>
      <c r="V169" s="195">
        <v>150000</v>
      </c>
      <c r="W169" s="195">
        <v>100000</v>
      </c>
      <c r="X169" s="195">
        <f t="shared" si="33"/>
        <v>356520</v>
      </c>
      <c r="Y169" s="196">
        <f t="shared" si="34"/>
        <v>0</v>
      </c>
    </row>
    <row r="170" spans="1:25" s="2" customFormat="1" ht="21.75" customHeight="1" x14ac:dyDescent="0.35">
      <c r="A170" s="2">
        <v>10777</v>
      </c>
      <c r="B170" s="172" t="s">
        <v>645</v>
      </c>
      <c r="C170" s="172" t="s">
        <v>646</v>
      </c>
      <c r="D170" s="181">
        <v>2155</v>
      </c>
      <c r="E170" s="185">
        <v>1454</v>
      </c>
      <c r="F170" s="185">
        <v>138</v>
      </c>
      <c r="G170" s="185">
        <v>22</v>
      </c>
      <c r="H170" s="185">
        <v>23</v>
      </c>
      <c r="I170" s="185">
        <v>1</v>
      </c>
      <c r="J170" s="186">
        <f t="shared" si="22"/>
        <v>3793</v>
      </c>
      <c r="K170" s="194" t="str">
        <f t="shared" si="31"/>
        <v>M</v>
      </c>
      <c r="L170" s="174"/>
      <c r="M170" s="174">
        <v>1</v>
      </c>
      <c r="N170" s="174"/>
      <c r="O170" s="195">
        <f t="shared" si="24"/>
        <v>330000</v>
      </c>
      <c r="P170" s="195">
        <f>200000+100000+457880</f>
        <v>757880</v>
      </c>
      <c r="Q170" s="196">
        <f t="shared" si="32"/>
        <v>229.66060606060606</v>
      </c>
      <c r="U170" s="195">
        <v>457880</v>
      </c>
      <c r="V170" s="195">
        <v>100000</v>
      </c>
      <c r="W170" s="195">
        <v>200000</v>
      </c>
      <c r="X170" s="195">
        <f t="shared" si="33"/>
        <v>757880</v>
      </c>
      <c r="Y170" s="196">
        <f t="shared" si="34"/>
        <v>0</v>
      </c>
    </row>
    <row r="171" spans="1:25" s="2" customFormat="1" ht="21.75" customHeight="1" x14ac:dyDescent="0.35">
      <c r="A171" s="2">
        <v>10777</v>
      </c>
      <c r="B171" s="173" t="s">
        <v>549</v>
      </c>
      <c r="C171" s="173" t="s">
        <v>550</v>
      </c>
      <c r="D171" s="182">
        <v>4843</v>
      </c>
      <c r="E171" s="185">
        <v>3656</v>
      </c>
      <c r="F171" s="185">
        <v>602</v>
      </c>
      <c r="G171" s="185">
        <v>51</v>
      </c>
      <c r="H171" s="185">
        <v>151</v>
      </c>
      <c r="I171" s="185">
        <v>3</v>
      </c>
      <c r="J171" s="186">
        <f t="shared" si="22"/>
        <v>9306</v>
      </c>
      <c r="K171" s="194" t="str">
        <f t="shared" si="31"/>
        <v>L</v>
      </c>
      <c r="L171" s="174"/>
      <c r="M171" s="174"/>
      <c r="N171" s="174">
        <v>1</v>
      </c>
      <c r="O171" s="195">
        <f t="shared" si="24"/>
        <v>360000</v>
      </c>
      <c r="P171" s="195">
        <f>250000+250000+136660</f>
        <v>636660</v>
      </c>
      <c r="Q171" s="196">
        <f t="shared" si="32"/>
        <v>176.85</v>
      </c>
      <c r="U171" s="195">
        <v>136660</v>
      </c>
      <c r="V171" s="195">
        <v>250000</v>
      </c>
      <c r="W171" s="195">
        <v>250000</v>
      </c>
      <c r="X171" s="195">
        <f t="shared" si="33"/>
        <v>636660</v>
      </c>
      <c r="Y171" s="196">
        <f t="shared" si="34"/>
        <v>0</v>
      </c>
    </row>
    <row r="172" spans="1:25" s="2" customFormat="1" ht="21.75" customHeight="1" x14ac:dyDescent="0.35">
      <c r="A172" s="2">
        <v>10777</v>
      </c>
      <c r="B172" s="172" t="s">
        <v>647</v>
      </c>
      <c r="C172" s="172" t="s">
        <v>648</v>
      </c>
      <c r="D172" s="181">
        <v>2370</v>
      </c>
      <c r="E172" s="185">
        <v>939</v>
      </c>
      <c r="F172" s="185">
        <v>93</v>
      </c>
      <c r="G172" s="185">
        <v>26</v>
      </c>
      <c r="H172" s="185">
        <v>22</v>
      </c>
      <c r="I172" s="185">
        <v>2</v>
      </c>
      <c r="J172" s="186">
        <f t="shared" si="22"/>
        <v>3452</v>
      </c>
      <c r="K172" s="194" t="str">
        <f t="shared" si="31"/>
        <v>M</v>
      </c>
      <c r="L172" s="174"/>
      <c r="M172" s="174">
        <v>1</v>
      </c>
      <c r="N172" s="174"/>
      <c r="O172" s="195">
        <f t="shared" si="24"/>
        <v>330000</v>
      </c>
      <c r="P172" s="195">
        <f>150000+50000</f>
        <v>200000</v>
      </c>
      <c r="Q172" s="196">
        <f t="shared" si="32"/>
        <v>60.606060606060609</v>
      </c>
      <c r="U172" s="195"/>
      <c r="V172" s="195">
        <v>150000</v>
      </c>
      <c r="W172" s="195">
        <v>50000</v>
      </c>
      <c r="X172" s="195">
        <f t="shared" si="33"/>
        <v>200000</v>
      </c>
      <c r="Y172" s="196">
        <f t="shared" si="34"/>
        <v>0</v>
      </c>
    </row>
    <row r="173" spans="1:25" s="2" customFormat="1" ht="21.75" customHeight="1" x14ac:dyDescent="0.35">
      <c r="A173" s="2">
        <v>10777</v>
      </c>
      <c r="B173" s="173" t="s">
        <v>649</v>
      </c>
      <c r="C173" s="173" t="s">
        <v>650</v>
      </c>
      <c r="D173" s="182">
        <v>2177</v>
      </c>
      <c r="E173" s="185">
        <v>1118</v>
      </c>
      <c r="F173" s="185">
        <v>163</v>
      </c>
      <c r="G173" s="185">
        <v>35</v>
      </c>
      <c r="H173" s="185">
        <v>32</v>
      </c>
      <c r="I173" s="185">
        <v>0</v>
      </c>
      <c r="J173" s="186">
        <f t="shared" si="22"/>
        <v>3525</v>
      </c>
      <c r="K173" s="194" t="str">
        <f t="shared" si="31"/>
        <v>M</v>
      </c>
      <c r="L173" s="174"/>
      <c r="M173" s="174">
        <v>1</v>
      </c>
      <c r="N173" s="174"/>
      <c r="O173" s="195">
        <f t="shared" si="24"/>
        <v>330000</v>
      </c>
      <c r="P173" s="195">
        <f>150000+150000</f>
        <v>300000</v>
      </c>
      <c r="Q173" s="196">
        <f t="shared" si="32"/>
        <v>90.909090909090907</v>
      </c>
      <c r="U173" s="195"/>
      <c r="V173" s="195">
        <v>150000</v>
      </c>
      <c r="W173" s="195">
        <v>150000</v>
      </c>
      <c r="X173" s="195">
        <f t="shared" si="33"/>
        <v>300000</v>
      </c>
      <c r="Y173" s="196">
        <f t="shared" si="34"/>
        <v>0</v>
      </c>
    </row>
    <row r="174" spans="1:25" s="2" customFormat="1" ht="21.75" customHeight="1" x14ac:dyDescent="0.35">
      <c r="A174" s="2">
        <v>10777</v>
      </c>
      <c r="B174" s="172" t="s">
        <v>651</v>
      </c>
      <c r="C174" s="172" t="s">
        <v>652</v>
      </c>
      <c r="D174" s="181">
        <v>1434</v>
      </c>
      <c r="E174" s="185">
        <v>705</v>
      </c>
      <c r="F174" s="185">
        <v>72</v>
      </c>
      <c r="G174" s="185">
        <v>12</v>
      </c>
      <c r="H174" s="185">
        <v>20</v>
      </c>
      <c r="I174" s="185">
        <v>0</v>
      </c>
      <c r="J174" s="186">
        <f t="shared" si="22"/>
        <v>2243</v>
      </c>
      <c r="K174" s="194" t="str">
        <f t="shared" si="31"/>
        <v>S</v>
      </c>
      <c r="L174" s="174">
        <v>1</v>
      </c>
      <c r="M174" s="174"/>
      <c r="N174" s="174"/>
      <c r="O174" s="195">
        <f t="shared" si="24"/>
        <v>300000</v>
      </c>
      <c r="P174" s="195">
        <f>200000+150000+139480</f>
        <v>489480</v>
      </c>
      <c r="Q174" s="196">
        <f t="shared" si="32"/>
        <v>163.16</v>
      </c>
      <c r="U174" s="195">
        <v>139480</v>
      </c>
      <c r="V174" s="195">
        <v>150000</v>
      </c>
      <c r="W174" s="195">
        <v>200000</v>
      </c>
      <c r="X174" s="195">
        <f t="shared" si="33"/>
        <v>489480</v>
      </c>
      <c r="Y174" s="196">
        <f t="shared" si="34"/>
        <v>0</v>
      </c>
    </row>
    <row r="175" spans="1:25" s="2" customFormat="1" ht="21.75" customHeight="1" x14ac:dyDescent="0.35">
      <c r="A175" s="2">
        <v>10777</v>
      </c>
      <c r="B175" s="173" t="s">
        <v>653</v>
      </c>
      <c r="C175" s="173" t="s">
        <v>654</v>
      </c>
      <c r="D175" s="182">
        <v>4076</v>
      </c>
      <c r="E175" s="185">
        <v>1511</v>
      </c>
      <c r="F175" s="185">
        <v>177</v>
      </c>
      <c r="G175" s="185">
        <v>21</v>
      </c>
      <c r="H175" s="185">
        <v>36</v>
      </c>
      <c r="I175" s="185">
        <v>2</v>
      </c>
      <c r="J175" s="186">
        <f t="shared" si="22"/>
        <v>5823</v>
      </c>
      <c r="K175" s="194" t="str">
        <f t="shared" si="31"/>
        <v>M</v>
      </c>
      <c r="L175" s="174"/>
      <c r="M175" s="174">
        <v>1</v>
      </c>
      <c r="N175" s="174"/>
      <c r="O175" s="195">
        <f t="shared" si="24"/>
        <v>330000</v>
      </c>
      <c r="P175" s="195">
        <f>200000+250000</f>
        <v>450000</v>
      </c>
      <c r="Q175" s="196">
        <f t="shared" si="32"/>
        <v>136.36363636363637</v>
      </c>
      <c r="U175" s="195"/>
      <c r="V175" s="195">
        <v>250000</v>
      </c>
      <c r="W175" s="195">
        <v>200000</v>
      </c>
      <c r="X175" s="195">
        <f t="shared" si="33"/>
        <v>450000</v>
      </c>
      <c r="Y175" s="196">
        <f t="shared" si="34"/>
        <v>0</v>
      </c>
    </row>
    <row r="176" spans="1:25" s="2" customFormat="1" ht="21.75" customHeight="1" x14ac:dyDescent="0.35">
      <c r="A176" s="2">
        <v>10778</v>
      </c>
      <c r="B176" s="43" t="s">
        <v>661</v>
      </c>
      <c r="C176" s="43" t="s">
        <v>662</v>
      </c>
      <c r="D176" s="178">
        <v>1273</v>
      </c>
      <c r="E176" s="185">
        <v>466</v>
      </c>
      <c r="F176" s="185">
        <v>93</v>
      </c>
      <c r="G176" s="185">
        <v>15</v>
      </c>
      <c r="H176" s="185">
        <v>15</v>
      </c>
      <c r="I176" s="185">
        <v>1</v>
      </c>
      <c r="J176" s="186">
        <f t="shared" si="22"/>
        <v>1863</v>
      </c>
      <c r="K176" s="234" t="str">
        <f t="shared" si="31"/>
        <v>S</v>
      </c>
      <c r="L176" s="174">
        <v>1</v>
      </c>
      <c r="M176" s="174"/>
      <c r="N176" s="174"/>
      <c r="O176" s="242">
        <f t="shared" si="24"/>
        <v>300000</v>
      </c>
      <c r="P176" s="195">
        <f>98859.91+150000</f>
        <v>248859.91</v>
      </c>
      <c r="Q176" s="196">
        <f>+P176*100/O176</f>
        <v>82.953303333333338</v>
      </c>
      <c r="S176" s="254">
        <v>43825</v>
      </c>
      <c r="V176" s="195">
        <v>150000</v>
      </c>
      <c r="W176" s="195">
        <v>98859.91</v>
      </c>
      <c r="X176" s="195">
        <f t="shared" si="33"/>
        <v>248859.91</v>
      </c>
      <c r="Y176" s="196">
        <f t="shared" si="34"/>
        <v>0</v>
      </c>
    </row>
    <row r="177" spans="1:25" s="2" customFormat="1" ht="21.75" customHeight="1" x14ac:dyDescent="0.35">
      <c r="A177" s="2">
        <v>10778</v>
      </c>
      <c r="B177" s="169" t="s">
        <v>424</v>
      </c>
      <c r="C177" s="169" t="s">
        <v>425</v>
      </c>
      <c r="D177" s="177">
        <v>1463</v>
      </c>
      <c r="E177" s="185">
        <v>665</v>
      </c>
      <c r="F177" s="185">
        <v>189</v>
      </c>
      <c r="G177" s="185">
        <v>36</v>
      </c>
      <c r="H177" s="185">
        <v>37</v>
      </c>
      <c r="I177" s="185">
        <v>2</v>
      </c>
      <c r="J177" s="186">
        <f t="shared" si="22"/>
        <v>2392</v>
      </c>
      <c r="K177" s="234" t="str">
        <f t="shared" si="31"/>
        <v>S</v>
      </c>
      <c r="L177" s="174">
        <v>1</v>
      </c>
      <c r="M177" s="174"/>
      <c r="N177" s="174"/>
      <c r="O177" s="242">
        <f t="shared" si="24"/>
        <v>300000</v>
      </c>
      <c r="P177" s="195">
        <f>59789.5+150000</f>
        <v>209789.5</v>
      </c>
      <c r="Q177" s="196">
        <f t="shared" ref="Q177:Q183" si="35">+P177*100/O177</f>
        <v>69.929833333333335</v>
      </c>
      <c r="S177" s="254">
        <v>43825</v>
      </c>
      <c r="V177" s="195">
        <v>150000</v>
      </c>
      <c r="W177" s="195">
        <v>59789.5</v>
      </c>
      <c r="X177" s="195">
        <f t="shared" si="33"/>
        <v>209789.5</v>
      </c>
      <c r="Y177" s="196">
        <f t="shared" si="34"/>
        <v>0</v>
      </c>
    </row>
    <row r="178" spans="1:25" s="2" customFormat="1" ht="21.75" customHeight="1" x14ac:dyDescent="0.35">
      <c r="A178" s="2">
        <v>10778</v>
      </c>
      <c r="B178" s="43" t="s">
        <v>426</v>
      </c>
      <c r="C178" s="43" t="s">
        <v>427</v>
      </c>
      <c r="D178" s="178">
        <v>1147</v>
      </c>
      <c r="E178" s="185">
        <v>498</v>
      </c>
      <c r="F178" s="185">
        <v>67</v>
      </c>
      <c r="G178" s="185">
        <v>4</v>
      </c>
      <c r="H178" s="185">
        <v>17</v>
      </c>
      <c r="I178" s="185">
        <v>1</v>
      </c>
      <c r="J178" s="186">
        <f t="shared" si="22"/>
        <v>1734</v>
      </c>
      <c r="K178" s="234" t="str">
        <f t="shared" si="31"/>
        <v>S</v>
      </c>
      <c r="L178" s="174">
        <v>1</v>
      </c>
      <c r="M178" s="174"/>
      <c r="N178" s="174"/>
      <c r="O178" s="242">
        <f t="shared" si="24"/>
        <v>300000</v>
      </c>
      <c r="P178" s="195">
        <f>72245.9+150000</f>
        <v>222245.9</v>
      </c>
      <c r="Q178" s="196">
        <f t="shared" si="35"/>
        <v>74.081966666666673</v>
      </c>
      <c r="S178" s="254">
        <v>43825</v>
      </c>
      <c r="V178" s="195">
        <v>150000</v>
      </c>
      <c r="W178" s="195">
        <v>72245.899999999994</v>
      </c>
      <c r="X178" s="195">
        <f t="shared" si="33"/>
        <v>222245.9</v>
      </c>
      <c r="Y178" s="196">
        <f t="shared" si="34"/>
        <v>0</v>
      </c>
    </row>
    <row r="179" spans="1:25" s="2" customFormat="1" ht="21.75" customHeight="1" x14ac:dyDescent="0.35">
      <c r="A179" s="2">
        <v>10778</v>
      </c>
      <c r="B179" s="43" t="s">
        <v>428</v>
      </c>
      <c r="C179" s="43" t="s">
        <v>429</v>
      </c>
      <c r="D179" s="178">
        <v>1862</v>
      </c>
      <c r="E179" s="185">
        <v>755</v>
      </c>
      <c r="F179" s="185">
        <v>138</v>
      </c>
      <c r="G179" s="185">
        <v>28</v>
      </c>
      <c r="H179" s="185">
        <v>27</v>
      </c>
      <c r="I179" s="185">
        <v>2</v>
      </c>
      <c r="J179" s="186">
        <f t="shared" si="22"/>
        <v>2812</v>
      </c>
      <c r="K179" s="234" t="str">
        <f t="shared" si="31"/>
        <v>S</v>
      </c>
      <c r="L179" s="174"/>
      <c r="M179" s="174">
        <v>1</v>
      </c>
      <c r="N179" s="174"/>
      <c r="O179" s="242">
        <f t="shared" si="24"/>
        <v>300000</v>
      </c>
      <c r="P179" s="195">
        <f>71174.08+165000</f>
        <v>236174.08000000002</v>
      </c>
      <c r="Q179" s="196">
        <f t="shared" si="35"/>
        <v>78.724693333333335</v>
      </c>
      <c r="S179" s="254">
        <v>43825</v>
      </c>
      <c r="V179" s="195">
        <v>165000</v>
      </c>
      <c r="W179" s="195">
        <v>71174.080000000002</v>
      </c>
      <c r="X179" s="195">
        <f t="shared" si="33"/>
        <v>236174.08000000002</v>
      </c>
      <c r="Y179" s="196">
        <f t="shared" si="34"/>
        <v>0</v>
      </c>
    </row>
    <row r="180" spans="1:25" s="2" customFormat="1" ht="21.75" customHeight="1" x14ac:dyDescent="0.35">
      <c r="A180" s="2">
        <v>10778</v>
      </c>
      <c r="B180" s="169" t="s">
        <v>635</v>
      </c>
      <c r="C180" s="169" t="s">
        <v>636</v>
      </c>
      <c r="D180" s="177">
        <v>2414</v>
      </c>
      <c r="E180" s="185">
        <v>853</v>
      </c>
      <c r="F180" s="185">
        <v>143</v>
      </c>
      <c r="G180" s="185">
        <v>14</v>
      </c>
      <c r="H180" s="185">
        <v>22</v>
      </c>
      <c r="I180" s="185">
        <v>1</v>
      </c>
      <c r="J180" s="186">
        <f t="shared" si="22"/>
        <v>3447</v>
      </c>
      <c r="K180" s="234" t="str">
        <f t="shared" si="31"/>
        <v>M</v>
      </c>
      <c r="L180" s="174"/>
      <c r="M180" s="174">
        <v>1</v>
      </c>
      <c r="N180" s="174"/>
      <c r="O180" s="242">
        <f t="shared" si="24"/>
        <v>330000</v>
      </c>
      <c r="P180" s="195">
        <f>95552.43+165000</f>
        <v>260552.43</v>
      </c>
      <c r="Q180" s="196">
        <f t="shared" si="35"/>
        <v>78.955281818181817</v>
      </c>
      <c r="S180" s="254">
        <v>43825</v>
      </c>
      <c r="V180" s="195">
        <v>165000</v>
      </c>
      <c r="W180" s="195">
        <v>95552.43</v>
      </c>
      <c r="X180" s="195">
        <f t="shared" si="33"/>
        <v>260552.43</v>
      </c>
      <c r="Y180" s="196">
        <f t="shared" si="34"/>
        <v>0</v>
      </c>
    </row>
    <row r="181" spans="1:25" s="2" customFormat="1" ht="21.75" customHeight="1" x14ac:dyDescent="0.35">
      <c r="A181" s="2">
        <v>10778</v>
      </c>
      <c r="B181" s="43" t="s">
        <v>663</v>
      </c>
      <c r="C181" s="43" t="s">
        <v>664</v>
      </c>
      <c r="D181" s="178">
        <v>1090</v>
      </c>
      <c r="E181" s="185">
        <v>307</v>
      </c>
      <c r="F181" s="185">
        <v>64</v>
      </c>
      <c r="G181" s="185">
        <v>5</v>
      </c>
      <c r="H181" s="185">
        <v>7</v>
      </c>
      <c r="I181" s="185">
        <v>0</v>
      </c>
      <c r="J181" s="186">
        <f t="shared" si="22"/>
        <v>1473</v>
      </c>
      <c r="K181" s="234" t="str">
        <f t="shared" si="31"/>
        <v>S</v>
      </c>
      <c r="L181" s="174">
        <v>1</v>
      </c>
      <c r="M181" s="174"/>
      <c r="N181" s="174"/>
      <c r="O181" s="242">
        <f t="shared" si="24"/>
        <v>300000</v>
      </c>
      <c r="P181" s="195">
        <f>91349.28+150000</f>
        <v>241349.28</v>
      </c>
      <c r="Q181" s="196">
        <f t="shared" si="35"/>
        <v>80.449759999999998</v>
      </c>
      <c r="S181" s="254">
        <v>43825</v>
      </c>
      <c r="V181" s="195">
        <v>150000</v>
      </c>
      <c r="W181" s="195">
        <v>91349.28</v>
      </c>
      <c r="X181" s="195">
        <f t="shared" si="33"/>
        <v>241349.28</v>
      </c>
      <c r="Y181" s="196">
        <f t="shared" si="34"/>
        <v>0</v>
      </c>
    </row>
    <row r="182" spans="1:25" s="2" customFormat="1" ht="21.75" customHeight="1" x14ac:dyDescent="0.35">
      <c r="A182" s="2">
        <v>10779</v>
      </c>
      <c r="B182" s="43" t="s">
        <v>667</v>
      </c>
      <c r="C182" s="43" t="s">
        <v>668</v>
      </c>
      <c r="D182" s="178">
        <v>4481</v>
      </c>
      <c r="E182" s="185">
        <v>1597</v>
      </c>
      <c r="F182" s="185">
        <v>484</v>
      </c>
      <c r="G182" s="185">
        <v>60</v>
      </c>
      <c r="H182" s="185">
        <v>72</v>
      </c>
      <c r="I182" s="185">
        <v>11</v>
      </c>
      <c r="J182" s="186">
        <f t="shared" si="22"/>
        <v>6705</v>
      </c>
      <c r="K182" s="247" t="str">
        <f t="shared" si="31"/>
        <v>M</v>
      </c>
      <c r="L182" s="174"/>
      <c r="M182" s="174">
        <v>1</v>
      </c>
      <c r="N182" s="174"/>
      <c r="O182" s="248">
        <f t="shared" si="24"/>
        <v>330000</v>
      </c>
      <c r="P182" s="195">
        <f>82500+82500+82500+82500</f>
        <v>330000</v>
      </c>
      <c r="Q182" s="196">
        <f t="shared" si="35"/>
        <v>100</v>
      </c>
      <c r="S182" s="254"/>
      <c r="T182" s="2">
        <v>82500</v>
      </c>
      <c r="U182" s="95">
        <v>82500</v>
      </c>
      <c r="V182" s="95">
        <v>82500</v>
      </c>
      <c r="W182" s="95">
        <v>82500</v>
      </c>
      <c r="X182" s="215">
        <f>SUBTOTAL(9,T182:W182)</f>
        <v>330000</v>
      </c>
      <c r="Y182" s="196">
        <f>+X182-P182</f>
        <v>0</v>
      </c>
    </row>
    <row r="183" spans="1:25" s="2" customFormat="1" ht="21.75" customHeight="1" x14ac:dyDescent="0.35">
      <c r="A183" s="2">
        <v>10779</v>
      </c>
      <c r="B183" s="169" t="s">
        <v>669</v>
      </c>
      <c r="C183" s="169" t="s">
        <v>670</v>
      </c>
      <c r="D183" s="177">
        <v>3747</v>
      </c>
      <c r="E183" s="185">
        <v>1762</v>
      </c>
      <c r="F183" s="185">
        <v>488</v>
      </c>
      <c r="G183" s="185">
        <v>57</v>
      </c>
      <c r="H183" s="185">
        <v>96</v>
      </c>
      <c r="I183" s="185">
        <v>2</v>
      </c>
      <c r="J183" s="186">
        <f t="shared" si="22"/>
        <v>6152</v>
      </c>
      <c r="K183" s="247" t="str">
        <f t="shared" si="31"/>
        <v>M</v>
      </c>
      <c r="L183" s="174"/>
      <c r="M183" s="174">
        <v>1</v>
      </c>
      <c r="N183" s="174"/>
      <c r="O183" s="248">
        <f t="shared" si="24"/>
        <v>330000</v>
      </c>
      <c r="P183" s="195">
        <v>82500</v>
      </c>
      <c r="Q183" s="196">
        <f t="shared" si="35"/>
        <v>25</v>
      </c>
      <c r="S183" s="254"/>
      <c r="U183" s="95"/>
      <c r="V183" s="95">
        <v>82500</v>
      </c>
      <c r="W183" s="95"/>
      <c r="X183" s="215">
        <f t="shared" ref="X183:X193" si="36">SUBTOTAL(9,T183:W183)</f>
        <v>82500</v>
      </c>
      <c r="Y183" s="196">
        <f t="shared" si="34"/>
        <v>0</v>
      </c>
    </row>
    <row r="184" spans="1:25" s="2" customFormat="1" ht="21.75" customHeight="1" x14ac:dyDescent="0.35">
      <c r="A184" s="2">
        <v>10779</v>
      </c>
      <c r="B184" s="43" t="s">
        <v>655</v>
      </c>
      <c r="C184" s="43" t="s">
        <v>656</v>
      </c>
      <c r="D184" s="178">
        <v>1936</v>
      </c>
      <c r="E184" s="185">
        <v>658</v>
      </c>
      <c r="F184" s="185">
        <v>86</v>
      </c>
      <c r="G184" s="185">
        <v>13</v>
      </c>
      <c r="H184" s="185">
        <v>13</v>
      </c>
      <c r="I184" s="185">
        <v>2</v>
      </c>
      <c r="J184" s="186">
        <f t="shared" si="22"/>
        <v>2708</v>
      </c>
      <c r="K184" s="247" t="str">
        <f t="shared" si="31"/>
        <v>S</v>
      </c>
      <c r="L184" s="174">
        <v>1</v>
      </c>
      <c r="M184" s="174"/>
      <c r="N184" s="174"/>
      <c r="O184" s="248">
        <f t="shared" si="24"/>
        <v>300000</v>
      </c>
      <c r="P184" s="195">
        <f>130400+75000+75000+75000</f>
        <v>355400</v>
      </c>
      <c r="Q184" s="196">
        <f>+P184*100/O184</f>
        <v>118.46666666666667</v>
      </c>
      <c r="S184" s="254"/>
      <c r="T184" s="2">
        <v>75000</v>
      </c>
      <c r="U184" s="95">
        <v>75000</v>
      </c>
      <c r="V184" s="95">
        <v>75000</v>
      </c>
      <c r="W184" s="95">
        <v>130400</v>
      </c>
      <c r="X184" s="215">
        <f t="shared" si="36"/>
        <v>355400</v>
      </c>
      <c r="Y184" s="196">
        <f t="shared" si="34"/>
        <v>0</v>
      </c>
    </row>
    <row r="185" spans="1:25" s="2" customFormat="1" ht="21.75" customHeight="1" x14ac:dyDescent="0.35">
      <c r="A185" s="2">
        <v>10779</v>
      </c>
      <c r="B185" s="169" t="s">
        <v>671</v>
      </c>
      <c r="C185" s="169" t="s">
        <v>672</v>
      </c>
      <c r="D185" s="177">
        <v>2694</v>
      </c>
      <c r="E185" s="185">
        <v>1168</v>
      </c>
      <c r="F185" s="185">
        <v>187</v>
      </c>
      <c r="G185" s="185">
        <v>35</v>
      </c>
      <c r="H185" s="185">
        <v>38</v>
      </c>
      <c r="I185" s="185">
        <v>0</v>
      </c>
      <c r="J185" s="186">
        <f t="shared" si="22"/>
        <v>4122</v>
      </c>
      <c r="K185" s="247" t="str">
        <f t="shared" si="31"/>
        <v>M</v>
      </c>
      <c r="L185" s="174"/>
      <c r="M185" s="174">
        <v>1</v>
      </c>
      <c r="N185" s="174"/>
      <c r="O185" s="248">
        <f t="shared" si="24"/>
        <v>330000</v>
      </c>
      <c r="P185" s="195">
        <f>137200+82500+82500+82500</f>
        <v>384700</v>
      </c>
      <c r="Q185" s="196">
        <f t="shared" ref="Q185:Q193" si="37">+P185*100/O185</f>
        <v>116.57575757575758</v>
      </c>
      <c r="S185" s="254"/>
      <c r="T185" s="2">
        <v>82500</v>
      </c>
      <c r="U185" s="95">
        <v>82500</v>
      </c>
      <c r="V185" s="95">
        <v>82500</v>
      </c>
      <c r="W185" s="95">
        <v>137200</v>
      </c>
      <c r="X185" s="215">
        <f t="shared" si="36"/>
        <v>384700</v>
      </c>
      <c r="Y185" s="196">
        <f t="shared" si="34"/>
        <v>0</v>
      </c>
    </row>
    <row r="186" spans="1:25" s="2" customFormat="1" ht="21.75" customHeight="1" x14ac:dyDescent="0.35">
      <c r="A186" s="2">
        <v>10779</v>
      </c>
      <c r="B186" s="43" t="s">
        <v>673</v>
      </c>
      <c r="C186" s="43" t="s">
        <v>674</v>
      </c>
      <c r="D186" s="178">
        <v>2385</v>
      </c>
      <c r="E186" s="185">
        <v>1139</v>
      </c>
      <c r="F186" s="185">
        <v>114</v>
      </c>
      <c r="G186" s="185">
        <v>14</v>
      </c>
      <c r="H186" s="185">
        <v>28</v>
      </c>
      <c r="I186" s="185">
        <v>0</v>
      </c>
      <c r="J186" s="186">
        <f t="shared" si="22"/>
        <v>3680</v>
      </c>
      <c r="K186" s="247" t="str">
        <f t="shared" si="31"/>
        <v>M</v>
      </c>
      <c r="L186" s="174"/>
      <c r="M186" s="174">
        <v>1</v>
      </c>
      <c r="N186" s="174"/>
      <c r="O186" s="248">
        <f t="shared" si="24"/>
        <v>330000</v>
      </c>
      <c r="P186" s="195">
        <f>82500+82500+82500+82500</f>
        <v>330000</v>
      </c>
      <c r="Q186" s="196">
        <f t="shared" si="37"/>
        <v>100</v>
      </c>
      <c r="S186" s="254"/>
      <c r="T186" s="2">
        <v>82500</v>
      </c>
      <c r="U186" s="95">
        <v>82500</v>
      </c>
      <c r="V186" s="95">
        <v>82500</v>
      </c>
      <c r="W186" s="95">
        <v>82500</v>
      </c>
      <c r="X186" s="215">
        <f t="shared" si="36"/>
        <v>330000</v>
      </c>
      <c r="Y186" s="196">
        <f t="shared" si="34"/>
        <v>0</v>
      </c>
    </row>
    <row r="187" spans="1:25" s="2" customFormat="1" ht="21.75" customHeight="1" x14ac:dyDescent="0.35">
      <c r="A187" s="2">
        <v>10779</v>
      </c>
      <c r="B187" s="169" t="s">
        <v>621</v>
      </c>
      <c r="C187" s="169" t="s">
        <v>622</v>
      </c>
      <c r="D187" s="177">
        <v>2025</v>
      </c>
      <c r="E187" s="185">
        <v>708</v>
      </c>
      <c r="F187" s="185">
        <v>98</v>
      </c>
      <c r="G187" s="185">
        <v>25</v>
      </c>
      <c r="H187" s="185">
        <v>13</v>
      </c>
      <c r="I187" s="185">
        <v>0</v>
      </c>
      <c r="J187" s="186">
        <f t="shared" si="22"/>
        <v>2869</v>
      </c>
      <c r="K187" s="247" t="str">
        <f t="shared" si="31"/>
        <v>S</v>
      </c>
      <c r="L187" s="174">
        <v>1</v>
      </c>
      <c r="M187" s="174"/>
      <c r="N187" s="174"/>
      <c r="O187" s="248">
        <f t="shared" si="24"/>
        <v>300000</v>
      </c>
      <c r="P187" s="195">
        <f>82500+82500+82500+82500</f>
        <v>330000</v>
      </c>
      <c r="Q187" s="196">
        <f t="shared" si="37"/>
        <v>110</v>
      </c>
      <c r="S187" s="254"/>
      <c r="T187" s="2">
        <v>82500</v>
      </c>
      <c r="U187" s="95">
        <v>82500</v>
      </c>
      <c r="V187" s="95">
        <v>82500</v>
      </c>
      <c r="W187" s="95">
        <v>82500</v>
      </c>
      <c r="X187" s="215">
        <f t="shared" si="36"/>
        <v>330000</v>
      </c>
      <c r="Y187" s="196">
        <f t="shared" si="34"/>
        <v>0</v>
      </c>
    </row>
    <row r="188" spans="1:25" s="2" customFormat="1" ht="21.75" customHeight="1" x14ac:dyDescent="0.35">
      <c r="A188" s="2">
        <v>10779</v>
      </c>
      <c r="B188" s="169" t="s">
        <v>623</v>
      </c>
      <c r="C188" s="169" t="s">
        <v>624</v>
      </c>
      <c r="D188" s="177">
        <v>1975</v>
      </c>
      <c r="E188" s="185">
        <v>840</v>
      </c>
      <c r="F188" s="185">
        <v>113</v>
      </c>
      <c r="G188" s="185">
        <v>11</v>
      </c>
      <c r="H188" s="185">
        <v>20</v>
      </c>
      <c r="I188" s="185">
        <v>0</v>
      </c>
      <c r="J188" s="186">
        <f t="shared" si="22"/>
        <v>2959</v>
      </c>
      <c r="K188" s="247" t="str">
        <f t="shared" si="31"/>
        <v>S</v>
      </c>
      <c r="L188" s="174">
        <v>1</v>
      </c>
      <c r="M188" s="174"/>
      <c r="N188" s="174"/>
      <c r="O188" s="248">
        <f t="shared" si="24"/>
        <v>300000</v>
      </c>
      <c r="P188" s="195">
        <f>82500+82500+82500+82500</f>
        <v>330000</v>
      </c>
      <c r="Q188" s="196">
        <f t="shared" si="37"/>
        <v>110</v>
      </c>
      <c r="S188" s="254"/>
      <c r="T188" s="2">
        <v>82500</v>
      </c>
      <c r="U188" s="95">
        <v>82500</v>
      </c>
      <c r="V188" s="95">
        <v>82500</v>
      </c>
      <c r="W188" s="95">
        <v>82500</v>
      </c>
      <c r="X188" s="215">
        <f t="shared" si="36"/>
        <v>330000</v>
      </c>
      <c r="Y188" s="196">
        <f t="shared" si="34"/>
        <v>0</v>
      </c>
    </row>
    <row r="189" spans="1:25" s="2" customFormat="1" ht="21.75" customHeight="1" x14ac:dyDescent="0.35">
      <c r="A189" s="2">
        <v>10779</v>
      </c>
      <c r="B189" s="43" t="s">
        <v>657</v>
      </c>
      <c r="C189" s="43" t="s">
        <v>658</v>
      </c>
      <c r="D189" s="178">
        <v>1677</v>
      </c>
      <c r="E189" s="185">
        <v>720</v>
      </c>
      <c r="F189" s="185">
        <v>138</v>
      </c>
      <c r="G189" s="185">
        <v>22</v>
      </c>
      <c r="H189" s="185">
        <v>20</v>
      </c>
      <c r="I189" s="185">
        <v>0</v>
      </c>
      <c r="J189" s="186">
        <f t="shared" si="22"/>
        <v>2577</v>
      </c>
      <c r="K189" s="247" t="str">
        <f t="shared" si="31"/>
        <v>S</v>
      </c>
      <c r="L189" s="174">
        <v>1</v>
      </c>
      <c r="M189" s="174"/>
      <c r="N189" s="174"/>
      <c r="O189" s="248">
        <f t="shared" si="24"/>
        <v>300000</v>
      </c>
      <c r="P189" s="195">
        <f>122400+75000+75000+75000</f>
        <v>347400</v>
      </c>
      <c r="Q189" s="196">
        <f t="shared" si="37"/>
        <v>115.8</v>
      </c>
      <c r="S189" s="254"/>
      <c r="T189" s="2">
        <v>75000</v>
      </c>
      <c r="U189" s="95">
        <v>75000</v>
      </c>
      <c r="V189" s="95">
        <v>75000</v>
      </c>
      <c r="W189" s="95">
        <v>122400</v>
      </c>
      <c r="X189" s="215">
        <f t="shared" si="36"/>
        <v>347400</v>
      </c>
      <c r="Y189" s="196">
        <f t="shared" si="34"/>
        <v>0</v>
      </c>
    </row>
    <row r="190" spans="1:25" s="2" customFormat="1" ht="21.75" customHeight="1" x14ac:dyDescent="0.35">
      <c r="A190" s="2">
        <v>10779</v>
      </c>
      <c r="B190" s="169" t="s">
        <v>625</v>
      </c>
      <c r="C190" s="169" t="s">
        <v>626</v>
      </c>
      <c r="D190" s="177">
        <v>2236</v>
      </c>
      <c r="E190" s="185">
        <v>1106</v>
      </c>
      <c r="F190" s="185">
        <v>143</v>
      </c>
      <c r="G190" s="185">
        <v>33</v>
      </c>
      <c r="H190" s="185">
        <v>32</v>
      </c>
      <c r="I190" s="185">
        <v>0</v>
      </c>
      <c r="J190" s="186">
        <f t="shared" si="22"/>
        <v>3550</v>
      </c>
      <c r="K190" s="247" t="str">
        <f t="shared" si="31"/>
        <v>M</v>
      </c>
      <c r="L190" s="174"/>
      <c r="M190" s="174">
        <v>1</v>
      </c>
      <c r="N190" s="174"/>
      <c r="O190" s="248">
        <f t="shared" si="24"/>
        <v>330000</v>
      </c>
      <c r="P190" s="195">
        <f>82500+82500+82500+82500</f>
        <v>330000</v>
      </c>
      <c r="Q190" s="196">
        <f t="shared" si="37"/>
        <v>100</v>
      </c>
      <c r="S190" s="254"/>
      <c r="T190" s="2">
        <v>82500</v>
      </c>
      <c r="U190" s="95">
        <v>82500</v>
      </c>
      <c r="V190" s="95">
        <v>82500</v>
      </c>
      <c r="W190" s="95">
        <v>82500</v>
      </c>
      <c r="X190" s="215">
        <f t="shared" si="36"/>
        <v>330000</v>
      </c>
      <c r="Y190" s="196">
        <f t="shared" si="34"/>
        <v>0</v>
      </c>
    </row>
    <row r="191" spans="1:25" s="2" customFormat="1" ht="21.75" customHeight="1" x14ac:dyDescent="0.35">
      <c r="A191" s="2">
        <v>10779</v>
      </c>
      <c r="B191" s="43" t="s">
        <v>675</v>
      </c>
      <c r="C191" s="43" t="s">
        <v>676</v>
      </c>
      <c r="D191" s="178">
        <v>3037</v>
      </c>
      <c r="E191" s="185">
        <v>1279</v>
      </c>
      <c r="F191" s="185">
        <v>711</v>
      </c>
      <c r="G191" s="185">
        <v>66</v>
      </c>
      <c r="H191" s="185">
        <v>74</v>
      </c>
      <c r="I191" s="185">
        <v>0</v>
      </c>
      <c r="J191" s="186">
        <f t="shared" si="22"/>
        <v>5167</v>
      </c>
      <c r="K191" s="247" t="str">
        <f t="shared" si="31"/>
        <v>M</v>
      </c>
      <c r="L191" s="174"/>
      <c r="M191" s="174">
        <v>1</v>
      </c>
      <c r="N191" s="174"/>
      <c r="O191" s="248">
        <f t="shared" si="24"/>
        <v>330000</v>
      </c>
      <c r="P191" s="195">
        <f>82500+82500+82500+82500</f>
        <v>330000</v>
      </c>
      <c r="Q191" s="196">
        <f t="shared" si="37"/>
        <v>100</v>
      </c>
      <c r="S191" s="254"/>
      <c r="T191" s="2">
        <v>82500</v>
      </c>
      <c r="U191" s="95">
        <v>82500</v>
      </c>
      <c r="V191" s="95">
        <v>82500</v>
      </c>
      <c r="W191" s="95">
        <v>82500</v>
      </c>
      <c r="X191" s="215">
        <f t="shared" si="36"/>
        <v>330000</v>
      </c>
      <c r="Y191" s="196">
        <f t="shared" si="34"/>
        <v>0</v>
      </c>
    </row>
    <row r="192" spans="1:25" s="2" customFormat="1" ht="21.75" customHeight="1" x14ac:dyDescent="0.35">
      <c r="A192" s="2">
        <v>10779</v>
      </c>
      <c r="B192" s="169" t="s">
        <v>485</v>
      </c>
      <c r="C192" s="169" t="s">
        <v>486</v>
      </c>
      <c r="D192" s="177">
        <v>1397</v>
      </c>
      <c r="E192" s="185">
        <v>601</v>
      </c>
      <c r="F192" s="185">
        <v>207</v>
      </c>
      <c r="G192" s="185">
        <v>24</v>
      </c>
      <c r="H192" s="185">
        <v>31</v>
      </c>
      <c r="I192" s="185">
        <v>0</v>
      </c>
      <c r="J192" s="186">
        <f t="shared" si="22"/>
        <v>2260</v>
      </c>
      <c r="K192" s="247" t="str">
        <f t="shared" si="31"/>
        <v>S</v>
      </c>
      <c r="L192" s="174">
        <v>1</v>
      </c>
      <c r="M192" s="174"/>
      <c r="N192" s="174"/>
      <c r="O192" s="248">
        <f t="shared" si="24"/>
        <v>300000</v>
      </c>
      <c r="P192" s="195">
        <f>75000+75000+75000</f>
        <v>225000</v>
      </c>
      <c r="Q192" s="196">
        <f t="shared" si="37"/>
        <v>75</v>
      </c>
      <c r="S192" s="254"/>
      <c r="T192" s="2">
        <v>75000</v>
      </c>
      <c r="U192" s="95">
        <v>75000</v>
      </c>
      <c r="V192" s="95">
        <v>75000</v>
      </c>
      <c r="W192" s="95"/>
      <c r="X192" s="215">
        <f t="shared" si="36"/>
        <v>225000</v>
      </c>
      <c r="Y192" s="196">
        <f t="shared" si="34"/>
        <v>0</v>
      </c>
    </row>
    <row r="193" spans="1:25" s="2" customFormat="1" ht="21.75" customHeight="1" x14ac:dyDescent="0.35">
      <c r="A193" s="2">
        <v>10779</v>
      </c>
      <c r="B193" s="169" t="s">
        <v>487</v>
      </c>
      <c r="C193" s="169" t="s">
        <v>488</v>
      </c>
      <c r="D193" s="177">
        <v>1230</v>
      </c>
      <c r="E193" s="185">
        <v>583</v>
      </c>
      <c r="F193" s="185">
        <v>180</v>
      </c>
      <c r="G193" s="185">
        <v>13</v>
      </c>
      <c r="H193" s="185">
        <v>20</v>
      </c>
      <c r="I193" s="185">
        <v>0</v>
      </c>
      <c r="J193" s="186">
        <f t="shared" si="22"/>
        <v>2026</v>
      </c>
      <c r="K193" s="247" t="str">
        <f t="shared" si="31"/>
        <v>S</v>
      </c>
      <c r="L193" s="174">
        <v>1</v>
      </c>
      <c r="M193" s="174"/>
      <c r="N193" s="174"/>
      <c r="O193" s="248">
        <f t="shared" si="24"/>
        <v>300000</v>
      </c>
      <c r="P193" s="195">
        <f>75000+75000+75000+75000</f>
        <v>300000</v>
      </c>
      <c r="Q193" s="196">
        <f t="shared" si="37"/>
        <v>100</v>
      </c>
      <c r="S193" s="254"/>
      <c r="T193" s="2">
        <v>75000</v>
      </c>
      <c r="U193" s="95">
        <v>75000</v>
      </c>
      <c r="V193" s="95">
        <v>75000</v>
      </c>
      <c r="W193" s="95">
        <v>75000</v>
      </c>
      <c r="X193" s="215">
        <f t="shared" si="36"/>
        <v>300000</v>
      </c>
      <c r="Y193" s="196">
        <f t="shared" si="34"/>
        <v>0</v>
      </c>
    </row>
    <row r="194" spans="1:25" s="2" customFormat="1" ht="21.75" customHeight="1" x14ac:dyDescent="0.35">
      <c r="A194" s="2">
        <v>10780</v>
      </c>
      <c r="B194" s="169" t="s">
        <v>679</v>
      </c>
      <c r="C194" s="169" t="s">
        <v>680</v>
      </c>
      <c r="D194" s="177">
        <v>767</v>
      </c>
      <c r="E194" s="185">
        <v>353</v>
      </c>
      <c r="F194" s="185">
        <v>152</v>
      </c>
      <c r="G194" s="185">
        <v>21</v>
      </c>
      <c r="H194" s="185">
        <v>21</v>
      </c>
      <c r="I194" s="185">
        <v>0</v>
      </c>
      <c r="J194" s="186">
        <f t="shared" si="22"/>
        <v>1314</v>
      </c>
      <c r="K194" s="194" t="str">
        <f t="shared" si="31"/>
        <v>S</v>
      </c>
      <c r="L194" s="174">
        <v>1</v>
      </c>
      <c r="M194" s="174"/>
      <c r="N194" s="174"/>
      <c r="O194" s="195">
        <f t="shared" si="24"/>
        <v>300000</v>
      </c>
      <c r="P194" s="195">
        <f>200000+130000</f>
        <v>330000</v>
      </c>
      <c r="Q194" s="196">
        <f>+P194*100/O194</f>
        <v>110</v>
      </c>
      <c r="V194" s="195">
        <v>130000</v>
      </c>
      <c r="W194" s="195">
        <v>200000</v>
      </c>
      <c r="X194" s="195">
        <f>SUBTOTAL(9,V194:W194)</f>
        <v>330000</v>
      </c>
      <c r="Y194" s="196">
        <f t="shared" si="34"/>
        <v>0</v>
      </c>
    </row>
    <row r="195" spans="1:25" s="2" customFormat="1" ht="21.75" customHeight="1" x14ac:dyDescent="0.35">
      <c r="A195" s="2">
        <v>10780</v>
      </c>
      <c r="B195" s="43" t="s">
        <v>681</v>
      </c>
      <c r="C195" s="43" t="s">
        <v>682</v>
      </c>
      <c r="D195" s="178">
        <v>465</v>
      </c>
      <c r="E195" s="185">
        <v>31</v>
      </c>
      <c r="F195" s="185">
        <v>22</v>
      </c>
      <c r="G195" s="185">
        <v>1</v>
      </c>
      <c r="H195" s="185">
        <v>1</v>
      </c>
      <c r="I195" s="185">
        <v>0</v>
      </c>
      <c r="J195" s="186">
        <f t="shared" si="22"/>
        <v>520</v>
      </c>
      <c r="K195" s="194" t="str">
        <f t="shared" si="31"/>
        <v>S</v>
      </c>
      <c r="L195" s="174">
        <v>1</v>
      </c>
      <c r="M195" s="174"/>
      <c r="N195" s="174"/>
      <c r="O195" s="195">
        <f t="shared" si="24"/>
        <v>300000</v>
      </c>
      <c r="P195" s="195">
        <f>100000+80000</f>
        <v>180000</v>
      </c>
      <c r="Q195" s="196">
        <f t="shared" ref="Q195:Q205" si="38">+P195*100/O195</f>
        <v>60</v>
      </c>
      <c r="V195" s="195">
        <v>80000</v>
      </c>
      <c r="W195" s="195">
        <v>100000</v>
      </c>
      <c r="X195" s="195">
        <f t="shared" ref="X195:X209" si="39">SUBTOTAL(9,V195:W195)</f>
        <v>180000</v>
      </c>
      <c r="Y195" s="196">
        <f t="shared" si="34"/>
        <v>0</v>
      </c>
    </row>
    <row r="196" spans="1:25" s="2" customFormat="1" ht="21.75" customHeight="1" x14ac:dyDescent="0.35">
      <c r="A196" s="2">
        <v>10780</v>
      </c>
      <c r="B196" s="43" t="s">
        <v>683</v>
      </c>
      <c r="C196" s="43" t="s">
        <v>684</v>
      </c>
      <c r="D196" s="178">
        <v>241</v>
      </c>
      <c r="E196" s="185">
        <v>371</v>
      </c>
      <c r="F196" s="185">
        <v>101</v>
      </c>
      <c r="G196" s="185">
        <v>17</v>
      </c>
      <c r="H196" s="185">
        <v>8</v>
      </c>
      <c r="I196" s="185">
        <v>0</v>
      </c>
      <c r="J196" s="186">
        <f t="shared" si="22"/>
        <v>738</v>
      </c>
      <c r="K196" s="194" t="str">
        <f t="shared" si="31"/>
        <v>S</v>
      </c>
      <c r="L196" s="174">
        <v>1</v>
      </c>
      <c r="M196" s="174"/>
      <c r="N196" s="174"/>
      <c r="O196" s="195">
        <f t="shared" si="24"/>
        <v>300000</v>
      </c>
      <c r="P196" s="195">
        <f>100000+80000</f>
        <v>180000</v>
      </c>
      <c r="Q196" s="196">
        <f t="shared" si="38"/>
        <v>60</v>
      </c>
      <c r="V196" s="195">
        <v>80000</v>
      </c>
      <c r="W196" s="195">
        <v>100000</v>
      </c>
      <c r="X196" s="195">
        <f t="shared" si="39"/>
        <v>180000</v>
      </c>
      <c r="Y196" s="196">
        <f t="shared" si="34"/>
        <v>0</v>
      </c>
    </row>
    <row r="197" spans="1:25" s="2" customFormat="1" ht="21.75" customHeight="1" x14ac:dyDescent="0.35">
      <c r="A197" s="2">
        <v>10780</v>
      </c>
      <c r="B197" s="43" t="s">
        <v>685</v>
      </c>
      <c r="C197" s="43" t="s">
        <v>379</v>
      </c>
      <c r="D197" s="178">
        <v>755</v>
      </c>
      <c r="E197" s="185">
        <v>324</v>
      </c>
      <c r="F197" s="185">
        <v>110</v>
      </c>
      <c r="G197" s="185">
        <v>17</v>
      </c>
      <c r="H197" s="185">
        <v>11</v>
      </c>
      <c r="I197" s="185">
        <v>0</v>
      </c>
      <c r="J197" s="186">
        <f t="shared" si="22"/>
        <v>1217</v>
      </c>
      <c r="K197" s="194" t="str">
        <f t="shared" si="31"/>
        <v>S</v>
      </c>
      <c r="L197" s="174">
        <v>1</v>
      </c>
      <c r="M197" s="174"/>
      <c r="N197" s="174"/>
      <c r="O197" s="195">
        <f t="shared" si="24"/>
        <v>300000</v>
      </c>
      <c r="P197" s="195">
        <f>120000+100000</f>
        <v>220000</v>
      </c>
      <c r="Q197" s="196">
        <f t="shared" si="38"/>
        <v>73.333333333333329</v>
      </c>
      <c r="V197" s="195">
        <v>100000</v>
      </c>
      <c r="W197" s="195">
        <v>120000</v>
      </c>
      <c r="X197" s="195">
        <f t="shared" si="39"/>
        <v>220000</v>
      </c>
      <c r="Y197" s="196">
        <f t="shared" si="34"/>
        <v>0</v>
      </c>
    </row>
    <row r="198" spans="1:25" s="2" customFormat="1" ht="21.75" customHeight="1" x14ac:dyDescent="0.35">
      <c r="A198" s="2">
        <v>10780</v>
      </c>
      <c r="B198" s="169" t="s">
        <v>686</v>
      </c>
      <c r="C198" s="169" t="s">
        <v>687</v>
      </c>
      <c r="D198" s="177">
        <v>1109</v>
      </c>
      <c r="E198" s="185">
        <v>487</v>
      </c>
      <c r="F198" s="185">
        <v>172</v>
      </c>
      <c r="G198" s="185">
        <v>31</v>
      </c>
      <c r="H198" s="185">
        <v>27</v>
      </c>
      <c r="I198" s="185">
        <v>0</v>
      </c>
      <c r="J198" s="186">
        <f t="shared" ref="J198:J209" si="40">SUM(D198:I198)</f>
        <v>1826</v>
      </c>
      <c r="K198" s="194" t="str">
        <f t="shared" ref="K198:K209" si="41">VLOOKUP(J198,$N$212:$O$215,2)</f>
        <v>S</v>
      </c>
      <c r="L198" s="174">
        <v>1</v>
      </c>
      <c r="M198" s="174"/>
      <c r="N198" s="174"/>
      <c r="O198" s="195">
        <f t="shared" ref="O198:O209" si="42">VLOOKUP(J198,$N$217:$O$220,2)</f>
        <v>300000</v>
      </c>
      <c r="P198" s="195">
        <f>220000+130000</f>
        <v>350000</v>
      </c>
      <c r="Q198" s="196">
        <f t="shared" si="38"/>
        <v>116.66666666666667</v>
      </c>
      <c r="V198" s="195">
        <v>130000</v>
      </c>
      <c r="W198" s="195">
        <v>220000</v>
      </c>
      <c r="X198" s="195">
        <f t="shared" si="39"/>
        <v>350000</v>
      </c>
      <c r="Y198" s="196">
        <f t="shared" si="34"/>
        <v>0</v>
      </c>
    </row>
    <row r="199" spans="1:25" s="2" customFormat="1" ht="21.75" customHeight="1" x14ac:dyDescent="0.35">
      <c r="A199" s="2">
        <v>10780</v>
      </c>
      <c r="B199" s="43" t="s">
        <v>688</v>
      </c>
      <c r="C199" s="43" t="s">
        <v>689</v>
      </c>
      <c r="D199" s="178">
        <v>967</v>
      </c>
      <c r="E199" s="185">
        <v>393</v>
      </c>
      <c r="F199" s="185">
        <v>205</v>
      </c>
      <c r="G199" s="185">
        <v>27</v>
      </c>
      <c r="H199" s="185">
        <v>16</v>
      </c>
      <c r="I199" s="185">
        <v>0</v>
      </c>
      <c r="J199" s="186">
        <f t="shared" si="40"/>
        <v>1608</v>
      </c>
      <c r="K199" s="194" t="str">
        <f t="shared" si="41"/>
        <v>S</v>
      </c>
      <c r="L199" s="174">
        <v>1</v>
      </c>
      <c r="M199" s="174"/>
      <c r="N199" s="174"/>
      <c r="O199" s="195">
        <f t="shared" si="42"/>
        <v>300000</v>
      </c>
      <c r="P199" s="195">
        <f>130000+80000</f>
        <v>210000</v>
      </c>
      <c r="Q199" s="196">
        <f t="shared" si="38"/>
        <v>70</v>
      </c>
      <c r="V199" s="195">
        <v>80000</v>
      </c>
      <c r="W199" s="195">
        <v>130000</v>
      </c>
      <c r="X199" s="195">
        <f t="shared" si="39"/>
        <v>210000</v>
      </c>
      <c r="Y199" s="196">
        <f t="shared" si="34"/>
        <v>0</v>
      </c>
    </row>
    <row r="200" spans="1:25" s="2" customFormat="1" ht="21.75" customHeight="1" x14ac:dyDescent="0.35">
      <c r="A200" s="2">
        <v>10780</v>
      </c>
      <c r="B200" s="169" t="s">
        <v>690</v>
      </c>
      <c r="C200" s="169" t="s">
        <v>691</v>
      </c>
      <c r="D200" s="177">
        <v>837</v>
      </c>
      <c r="E200" s="185">
        <v>345</v>
      </c>
      <c r="F200" s="185">
        <v>148</v>
      </c>
      <c r="G200" s="185">
        <v>12</v>
      </c>
      <c r="H200" s="185">
        <v>22</v>
      </c>
      <c r="I200" s="185">
        <v>1</v>
      </c>
      <c r="J200" s="186">
        <f t="shared" si="40"/>
        <v>1365</v>
      </c>
      <c r="K200" s="194" t="str">
        <f t="shared" si="41"/>
        <v>S</v>
      </c>
      <c r="L200" s="174">
        <v>1</v>
      </c>
      <c r="M200" s="174"/>
      <c r="N200" s="174"/>
      <c r="O200" s="195">
        <f t="shared" si="42"/>
        <v>300000</v>
      </c>
      <c r="P200" s="195">
        <f>200000+90000</f>
        <v>290000</v>
      </c>
      <c r="Q200" s="196">
        <f t="shared" si="38"/>
        <v>96.666666666666671</v>
      </c>
      <c r="V200" s="195">
        <v>90000</v>
      </c>
      <c r="W200" s="195">
        <v>200000</v>
      </c>
      <c r="X200" s="195">
        <f t="shared" si="39"/>
        <v>290000</v>
      </c>
      <c r="Y200" s="196">
        <f t="shared" si="34"/>
        <v>0</v>
      </c>
    </row>
    <row r="201" spans="1:25" s="2" customFormat="1" ht="21.75" customHeight="1" x14ac:dyDescent="0.35">
      <c r="A201" s="2">
        <v>10780</v>
      </c>
      <c r="B201" s="43" t="s">
        <v>692</v>
      </c>
      <c r="C201" s="43" t="s">
        <v>693</v>
      </c>
      <c r="D201" s="178">
        <v>925</v>
      </c>
      <c r="E201" s="185">
        <v>435</v>
      </c>
      <c r="F201" s="185">
        <v>202</v>
      </c>
      <c r="G201" s="185">
        <v>39</v>
      </c>
      <c r="H201" s="185">
        <v>28</v>
      </c>
      <c r="I201" s="185">
        <v>1</v>
      </c>
      <c r="J201" s="186">
        <f t="shared" si="40"/>
        <v>1630</v>
      </c>
      <c r="K201" s="194" t="str">
        <f t="shared" si="41"/>
        <v>S</v>
      </c>
      <c r="L201" s="174">
        <v>1</v>
      </c>
      <c r="M201" s="174"/>
      <c r="N201" s="174"/>
      <c r="O201" s="195">
        <f t="shared" si="42"/>
        <v>300000</v>
      </c>
      <c r="P201" s="195">
        <f>130000+100000</f>
        <v>230000</v>
      </c>
      <c r="Q201" s="196">
        <f t="shared" si="38"/>
        <v>76.666666666666671</v>
      </c>
      <c r="V201" s="195">
        <v>100000</v>
      </c>
      <c r="W201" s="195">
        <v>130000</v>
      </c>
      <c r="X201" s="195">
        <f t="shared" si="39"/>
        <v>230000</v>
      </c>
      <c r="Y201" s="196">
        <f t="shared" si="34"/>
        <v>0</v>
      </c>
    </row>
    <row r="202" spans="1:25" s="2" customFormat="1" ht="21.75" customHeight="1" x14ac:dyDescent="0.35">
      <c r="A202" s="2">
        <v>10780</v>
      </c>
      <c r="B202" s="169" t="s">
        <v>694</v>
      </c>
      <c r="C202" s="169" t="s">
        <v>695</v>
      </c>
      <c r="D202" s="177">
        <v>2292</v>
      </c>
      <c r="E202" s="185">
        <v>839</v>
      </c>
      <c r="F202" s="185">
        <v>279</v>
      </c>
      <c r="G202" s="185">
        <v>31</v>
      </c>
      <c r="H202" s="185">
        <v>40</v>
      </c>
      <c r="I202" s="185">
        <v>0</v>
      </c>
      <c r="J202" s="186">
        <f t="shared" si="40"/>
        <v>3481</v>
      </c>
      <c r="K202" s="194" t="str">
        <f t="shared" si="41"/>
        <v>M</v>
      </c>
      <c r="L202" s="174"/>
      <c r="M202" s="174">
        <v>1</v>
      </c>
      <c r="N202" s="174"/>
      <c r="O202" s="195">
        <f t="shared" si="42"/>
        <v>330000</v>
      </c>
      <c r="P202" s="195">
        <f>165000+100000</f>
        <v>265000</v>
      </c>
      <c r="Q202" s="196">
        <f t="shared" si="38"/>
        <v>80.303030303030297</v>
      </c>
      <c r="V202" s="195">
        <v>100000</v>
      </c>
      <c r="W202" s="195">
        <v>165000</v>
      </c>
      <c r="X202" s="195">
        <f t="shared" si="39"/>
        <v>265000</v>
      </c>
      <c r="Y202" s="196">
        <f t="shared" si="34"/>
        <v>0</v>
      </c>
    </row>
    <row r="203" spans="1:25" s="2" customFormat="1" ht="21.75" customHeight="1" x14ac:dyDescent="0.35">
      <c r="A203" s="2">
        <v>10780</v>
      </c>
      <c r="B203" s="43" t="s">
        <v>696</v>
      </c>
      <c r="C203" s="43" t="s">
        <v>697</v>
      </c>
      <c r="D203" s="178">
        <v>1114</v>
      </c>
      <c r="E203" s="185">
        <v>494</v>
      </c>
      <c r="F203" s="185">
        <v>232</v>
      </c>
      <c r="G203" s="185">
        <v>29</v>
      </c>
      <c r="H203" s="185">
        <v>29</v>
      </c>
      <c r="I203" s="185">
        <v>3</v>
      </c>
      <c r="J203" s="186">
        <f t="shared" si="40"/>
        <v>1901</v>
      </c>
      <c r="K203" s="194" t="str">
        <f t="shared" si="41"/>
        <v>S</v>
      </c>
      <c r="L203" s="174">
        <v>1</v>
      </c>
      <c r="M203" s="174"/>
      <c r="N203" s="174"/>
      <c r="O203" s="195">
        <f t="shared" si="42"/>
        <v>300000</v>
      </c>
      <c r="P203" s="195">
        <f>90000+50000</f>
        <v>140000</v>
      </c>
      <c r="Q203" s="196">
        <f t="shared" si="38"/>
        <v>46.666666666666664</v>
      </c>
      <c r="V203" s="195">
        <v>50000</v>
      </c>
      <c r="W203" s="195">
        <v>90000</v>
      </c>
      <c r="X203" s="195">
        <f t="shared" si="39"/>
        <v>140000</v>
      </c>
      <c r="Y203" s="196">
        <f t="shared" si="34"/>
        <v>0</v>
      </c>
    </row>
    <row r="204" spans="1:25" s="2" customFormat="1" ht="21.75" customHeight="1" x14ac:dyDescent="0.35">
      <c r="A204" s="2">
        <v>10780</v>
      </c>
      <c r="B204" s="169" t="s">
        <v>698</v>
      </c>
      <c r="C204" s="169" t="s">
        <v>699</v>
      </c>
      <c r="D204" s="177">
        <v>1330</v>
      </c>
      <c r="E204" s="185">
        <v>490</v>
      </c>
      <c r="F204" s="185">
        <v>172</v>
      </c>
      <c r="G204" s="185">
        <v>32</v>
      </c>
      <c r="H204" s="185">
        <v>33</v>
      </c>
      <c r="I204" s="185">
        <v>3</v>
      </c>
      <c r="J204" s="186">
        <f t="shared" si="40"/>
        <v>2060</v>
      </c>
      <c r="K204" s="194" t="str">
        <f t="shared" si="41"/>
        <v>S</v>
      </c>
      <c r="L204" s="174">
        <v>1</v>
      </c>
      <c r="M204" s="174"/>
      <c r="N204" s="174"/>
      <c r="O204" s="195">
        <f t="shared" si="42"/>
        <v>300000</v>
      </c>
      <c r="P204" s="195">
        <f>175000+130000</f>
        <v>305000</v>
      </c>
      <c r="Q204" s="196">
        <f t="shared" si="38"/>
        <v>101.66666666666667</v>
      </c>
      <c r="V204" s="195">
        <v>130000</v>
      </c>
      <c r="W204" s="195">
        <v>175000</v>
      </c>
      <c r="X204" s="195">
        <f t="shared" si="39"/>
        <v>305000</v>
      </c>
      <c r="Y204" s="196">
        <f t="shared" si="34"/>
        <v>0</v>
      </c>
    </row>
    <row r="205" spans="1:25" s="2" customFormat="1" ht="21.75" customHeight="1" x14ac:dyDescent="0.35">
      <c r="A205" s="2">
        <v>10780</v>
      </c>
      <c r="B205" s="43" t="s">
        <v>700</v>
      </c>
      <c r="C205" s="43" t="s">
        <v>283</v>
      </c>
      <c r="D205" s="178">
        <v>1213</v>
      </c>
      <c r="E205" s="185">
        <v>561</v>
      </c>
      <c r="F205" s="185">
        <v>151</v>
      </c>
      <c r="G205" s="185">
        <v>27</v>
      </c>
      <c r="H205" s="185">
        <v>39</v>
      </c>
      <c r="I205" s="185">
        <v>0</v>
      </c>
      <c r="J205" s="186">
        <f t="shared" si="40"/>
        <v>1991</v>
      </c>
      <c r="K205" s="194" t="str">
        <f t="shared" si="41"/>
        <v>S</v>
      </c>
      <c r="L205" s="174">
        <v>1</v>
      </c>
      <c r="M205" s="174"/>
      <c r="N205" s="174"/>
      <c r="O205" s="195">
        <f t="shared" si="42"/>
        <v>300000</v>
      </c>
      <c r="P205" s="195">
        <f>185000+130000</f>
        <v>315000</v>
      </c>
      <c r="Q205" s="196">
        <f t="shared" si="38"/>
        <v>105</v>
      </c>
      <c r="V205" s="195">
        <v>130000</v>
      </c>
      <c r="W205" s="195">
        <v>185000</v>
      </c>
      <c r="X205" s="195">
        <f t="shared" si="39"/>
        <v>315000</v>
      </c>
      <c r="Y205" s="196">
        <f t="shared" si="34"/>
        <v>0</v>
      </c>
    </row>
    <row r="206" spans="1:25" s="2" customFormat="1" ht="21.75" customHeight="1" x14ac:dyDescent="0.35">
      <c r="A206" s="2">
        <v>10781</v>
      </c>
      <c r="B206" s="43" t="s">
        <v>703</v>
      </c>
      <c r="C206" s="43" t="s">
        <v>704</v>
      </c>
      <c r="D206" s="178">
        <v>1158</v>
      </c>
      <c r="E206" s="185">
        <v>422</v>
      </c>
      <c r="F206" s="185">
        <v>319</v>
      </c>
      <c r="G206" s="185">
        <v>63</v>
      </c>
      <c r="H206" s="185">
        <v>43</v>
      </c>
      <c r="I206" s="185">
        <v>0</v>
      </c>
      <c r="J206" s="186">
        <f t="shared" si="40"/>
        <v>2005</v>
      </c>
      <c r="K206" s="194" t="str">
        <f t="shared" si="41"/>
        <v>S</v>
      </c>
      <c r="L206" s="174">
        <v>1</v>
      </c>
      <c r="M206" s="174"/>
      <c r="N206" s="174"/>
      <c r="O206" s="195">
        <f t="shared" si="42"/>
        <v>300000</v>
      </c>
      <c r="P206" s="195">
        <v>200000</v>
      </c>
      <c r="Q206" s="196">
        <f>+P206*100/O206</f>
        <v>66.666666666666671</v>
      </c>
      <c r="S206" s="254">
        <v>43789</v>
      </c>
      <c r="W206" s="2">
        <v>200000</v>
      </c>
      <c r="X206" s="195">
        <f t="shared" si="39"/>
        <v>200000</v>
      </c>
      <c r="Y206" s="196">
        <f t="shared" si="34"/>
        <v>0</v>
      </c>
    </row>
    <row r="207" spans="1:25" s="2" customFormat="1" ht="21.75" customHeight="1" x14ac:dyDescent="0.35">
      <c r="A207" s="2">
        <v>10781</v>
      </c>
      <c r="B207" s="43" t="s">
        <v>705</v>
      </c>
      <c r="C207" s="43" t="s">
        <v>706</v>
      </c>
      <c r="D207" s="178">
        <v>1530</v>
      </c>
      <c r="E207" s="185">
        <v>578</v>
      </c>
      <c r="F207" s="185">
        <v>245</v>
      </c>
      <c r="G207" s="185">
        <v>39</v>
      </c>
      <c r="H207" s="185">
        <v>35</v>
      </c>
      <c r="I207" s="185">
        <v>1</v>
      </c>
      <c r="J207" s="186">
        <f t="shared" si="40"/>
        <v>2428</v>
      </c>
      <c r="K207" s="194" t="str">
        <f t="shared" si="41"/>
        <v>S</v>
      </c>
      <c r="L207" s="174">
        <v>1</v>
      </c>
      <c r="M207" s="174"/>
      <c r="N207" s="174"/>
      <c r="O207" s="195">
        <f t="shared" si="42"/>
        <v>300000</v>
      </c>
      <c r="P207" s="195">
        <v>200000</v>
      </c>
      <c r="Q207" s="196">
        <f t="shared" ref="Q207:Q209" si="43">+P207*100/O207</f>
        <v>66.666666666666671</v>
      </c>
      <c r="S207" s="254">
        <v>43789</v>
      </c>
      <c r="W207" s="2">
        <v>200000</v>
      </c>
      <c r="X207" s="195">
        <f t="shared" si="39"/>
        <v>200000</v>
      </c>
      <c r="Y207" s="196">
        <f t="shared" si="34"/>
        <v>0</v>
      </c>
    </row>
    <row r="208" spans="1:25" s="2" customFormat="1" ht="21.75" customHeight="1" x14ac:dyDescent="0.35">
      <c r="A208" s="2">
        <v>10781</v>
      </c>
      <c r="B208" s="169" t="s">
        <v>707</v>
      </c>
      <c r="C208" s="169" t="s">
        <v>708</v>
      </c>
      <c r="D208" s="177">
        <v>792</v>
      </c>
      <c r="E208" s="185">
        <v>362</v>
      </c>
      <c r="F208" s="185">
        <v>96</v>
      </c>
      <c r="G208" s="185">
        <v>16</v>
      </c>
      <c r="H208" s="185">
        <v>10</v>
      </c>
      <c r="I208" s="185">
        <v>0</v>
      </c>
      <c r="J208" s="186">
        <f t="shared" si="40"/>
        <v>1276</v>
      </c>
      <c r="K208" s="194" t="str">
        <f t="shared" si="41"/>
        <v>S</v>
      </c>
      <c r="L208" s="174">
        <v>1</v>
      </c>
      <c r="M208" s="174"/>
      <c r="N208" s="174"/>
      <c r="O208" s="195">
        <f t="shared" si="42"/>
        <v>300000</v>
      </c>
      <c r="P208" s="195">
        <v>200000</v>
      </c>
      <c r="Q208" s="196">
        <f t="shared" si="43"/>
        <v>66.666666666666671</v>
      </c>
      <c r="S208" s="254">
        <v>43789</v>
      </c>
      <c r="W208" s="2">
        <v>200000</v>
      </c>
      <c r="X208" s="195">
        <f t="shared" si="39"/>
        <v>200000</v>
      </c>
      <c r="Y208" s="196">
        <f t="shared" si="34"/>
        <v>0</v>
      </c>
    </row>
    <row r="209" spans="1:25" s="2" customFormat="1" ht="21.75" customHeight="1" x14ac:dyDescent="0.35">
      <c r="A209" s="2">
        <v>10781</v>
      </c>
      <c r="B209" s="43" t="s">
        <v>709</v>
      </c>
      <c r="C209" s="43" t="s">
        <v>710</v>
      </c>
      <c r="D209" s="178">
        <v>849</v>
      </c>
      <c r="E209" s="185">
        <v>387</v>
      </c>
      <c r="F209" s="185">
        <v>91</v>
      </c>
      <c r="G209" s="185">
        <v>0</v>
      </c>
      <c r="H209" s="185">
        <v>15</v>
      </c>
      <c r="I209" s="185">
        <v>0</v>
      </c>
      <c r="J209" s="186">
        <f t="shared" si="40"/>
        <v>1342</v>
      </c>
      <c r="K209" s="194" t="str">
        <f t="shared" si="41"/>
        <v>S</v>
      </c>
      <c r="L209" s="174">
        <v>1</v>
      </c>
      <c r="M209" s="174"/>
      <c r="N209" s="174"/>
      <c r="O209" s="195">
        <f t="shared" si="42"/>
        <v>300000</v>
      </c>
      <c r="P209" s="195">
        <v>200000</v>
      </c>
      <c r="Q209" s="196">
        <f t="shared" si="43"/>
        <v>66.666666666666671</v>
      </c>
      <c r="S209" s="254">
        <v>43789</v>
      </c>
      <c r="W209" s="2">
        <v>200000</v>
      </c>
      <c r="X209" s="195">
        <f t="shared" si="39"/>
        <v>200000</v>
      </c>
      <c r="Y209" s="196">
        <f t="shared" si="34"/>
        <v>0</v>
      </c>
    </row>
    <row r="210" spans="1:25" x14ac:dyDescent="0.2">
      <c r="L210" s="189">
        <f>SUM(L5:L209)</f>
        <v>132</v>
      </c>
      <c r="M210" s="189">
        <f>SUM(M5:M209)</f>
        <v>67</v>
      </c>
      <c r="N210" s="189">
        <f>SUM(N5:N209)</f>
        <v>6</v>
      </c>
      <c r="O210">
        <f>SUM(L210:N210)</f>
        <v>205</v>
      </c>
      <c r="P210"/>
      <c r="U210"/>
      <c r="V210"/>
      <c r="W210"/>
    </row>
    <row r="211" spans="1:25" ht="18" customHeight="1" x14ac:dyDescent="0.2">
      <c r="U211" s="111">
        <f t="shared" ref="U211:V211" si="44">SUBTOTAL(9,U182:U193)</f>
        <v>877500</v>
      </c>
      <c r="V211" s="111">
        <f t="shared" si="44"/>
        <v>960000</v>
      </c>
      <c r="W211" s="111">
        <f>SUBTOTAL(9,W182:W193)</f>
        <v>960000</v>
      </c>
      <c r="X211" s="111">
        <f>SUBTOTAL(9,X182:X194)</f>
        <v>0</v>
      </c>
      <c r="Y211" s="111">
        <f t="shared" ref="Y211" si="45">SUBTOTAL(9,Y182:Y193)</f>
        <v>0</v>
      </c>
    </row>
    <row r="212" spans="1:25" ht="15.75" customHeight="1" x14ac:dyDescent="0.2">
      <c r="N212" s="218" t="s">
        <v>809</v>
      </c>
      <c r="O212" s="218" t="s">
        <v>811</v>
      </c>
      <c r="P212"/>
      <c r="U212"/>
      <c r="V212"/>
      <c r="W212"/>
    </row>
    <row r="213" spans="1:25" ht="16.5" customHeight="1" x14ac:dyDescent="0.2">
      <c r="N213" s="219">
        <v>0</v>
      </c>
      <c r="O213" s="220" t="s">
        <v>793</v>
      </c>
      <c r="P213"/>
      <c r="U213"/>
      <c r="V213"/>
      <c r="W213"/>
    </row>
    <row r="214" spans="1:25" ht="15.75" customHeight="1" x14ac:dyDescent="0.2">
      <c r="N214" s="222">
        <v>3001</v>
      </c>
      <c r="O214" s="220" t="s">
        <v>794</v>
      </c>
      <c r="P214"/>
      <c r="U214"/>
      <c r="V214"/>
      <c r="W214"/>
    </row>
    <row r="215" spans="1:25" ht="12.75" customHeight="1" x14ac:dyDescent="0.2">
      <c r="N215" s="222">
        <v>8001</v>
      </c>
      <c r="O215" s="220" t="s">
        <v>795</v>
      </c>
      <c r="P215"/>
      <c r="U215"/>
      <c r="V215"/>
      <c r="W215"/>
    </row>
    <row r="216" spans="1:25" hidden="1" x14ac:dyDescent="0.2">
      <c r="P216"/>
      <c r="U216"/>
      <c r="V216"/>
      <c r="W216"/>
    </row>
    <row r="217" spans="1:25" ht="12.75" hidden="1" customHeight="1" x14ac:dyDescent="0.2">
      <c r="N217" s="218" t="s">
        <v>809</v>
      </c>
      <c r="O217" s="218" t="s">
        <v>810</v>
      </c>
      <c r="P217"/>
      <c r="U217"/>
      <c r="V217"/>
      <c r="W217"/>
    </row>
    <row r="218" spans="1:25" ht="32.25" hidden="1" customHeight="1" x14ac:dyDescent="0.2">
      <c r="N218" s="219">
        <v>0</v>
      </c>
      <c r="O218" s="221">
        <v>300000</v>
      </c>
      <c r="P218"/>
      <c r="U218"/>
      <c r="V218"/>
      <c r="W218"/>
    </row>
    <row r="219" spans="1:25" ht="19.5" hidden="1" customHeight="1" x14ac:dyDescent="0.2">
      <c r="N219" s="222">
        <v>3001</v>
      </c>
      <c r="O219" s="221">
        <v>330000</v>
      </c>
      <c r="P219"/>
      <c r="U219"/>
      <c r="V219"/>
      <c r="W219"/>
    </row>
    <row r="220" spans="1:25" ht="17.25" hidden="1" customHeight="1" x14ac:dyDescent="0.2">
      <c r="N220" s="222">
        <v>8001</v>
      </c>
      <c r="O220" s="221">
        <v>360000</v>
      </c>
      <c r="P220"/>
      <c r="U220"/>
      <c r="V220"/>
      <c r="W220"/>
    </row>
    <row r="221" spans="1:25" hidden="1" x14ac:dyDescent="0.2">
      <c r="U221"/>
      <c r="V221"/>
      <c r="W221"/>
    </row>
  </sheetData>
  <autoFilter ref="A4:R215"/>
  <sortState ref="A5:N209">
    <sortCondition ref="A5:A209"/>
  </sortState>
  <mergeCells count="13">
    <mergeCell ref="P2:P3"/>
    <mergeCell ref="O2:O3"/>
    <mergeCell ref="H2:H3"/>
    <mergeCell ref="I2:I3"/>
    <mergeCell ref="J2:J3"/>
    <mergeCell ref="K2:K3"/>
    <mergeCell ref="L1:N1"/>
    <mergeCell ref="G2:G3"/>
    <mergeCell ref="B2:B3"/>
    <mergeCell ref="C2:C3"/>
    <mergeCell ref="D2:D3"/>
    <mergeCell ref="E2:E3"/>
    <mergeCell ref="F2:F3"/>
  </mergeCells>
  <pageMargins left="0.17" right="0.17" top="0.74803149606299213" bottom="0.74803149606299213" header="0.31496062992125984" footer="0.31496062992125984"/>
  <pageSetup paperSize="9" scale="83" orientation="landscape" r:id="rId1"/>
  <ignoredErrors>
    <ignoredError sqref="P1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2"/>
  <sheetViews>
    <sheetView topLeftCell="A43" zoomScale="60" zoomScaleNormal="60" workbookViewId="0">
      <selection activeCell="G64" sqref="G64"/>
    </sheetView>
  </sheetViews>
  <sheetFormatPr defaultRowHeight="21" x14ac:dyDescent="0.35"/>
  <cols>
    <col min="1" max="1" width="15.7109375" style="2" customWidth="1"/>
    <col min="2" max="2" width="23.140625" style="2" customWidth="1"/>
    <col min="3" max="3" width="27" style="2" customWidth="1"/>
    <col min="4" max="4" width="12.5703125" style="2" customWidth="1"/>
    <col min="5" max="5" width="10.42578125" style="22" customWidth="1"/>
    <col min="6" max="6" width="14.5703125" style="22" customWidth="1"/>
    <col min="7" max="7" width="13.7109375" style="22" customWidth="1"/>
    <col min="8" max="8" width="9.140625" style="22"/>
    <col min="9" max="9" width="18.5703125" style="22" customWidth="1"/>
    <col min="10" max="10" width="14.7109375" style="22" customWidth="1"/>
    <col min="11" max="16384" width="9.140625" style="2"/>
  </cols>
  <sheetData>
    <row r="1" spans="1:15" x14ac:dyDescent="0.35">
      <c r="A1" s="302" t="s">
        <v>722</v>
      </c>
      <c r="B1" s="302"/>
      <c r="C1" s="302"/>
      <c r="D1" s="298" t="s">
        <v>251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C3" s="64"/>
      <c r="D3" s="44"/>
      <c r="E3" s="44"/>
      <c r="F3" s="303" t="s">
        <v>718</v>
      </c>
      <c r="G3" s="303"/>
      <c r="H3" s="303"/>
      <c r="I3" s="303"/>
      <c r="J3" s="303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225</v>
      </c>
      <c r="I4" s="19" t="s">
        <v>226</v>
      </c>
      <c r="J4" s="19" t="s">
        <v>221</v>
      </c>
    </row>
    <row r="5" spans="1:15" x14ac:dyDescent="0.35">
      <c r="A5" s="6" t="s">
        <v>432</v>
      </c>
      <c r="B5" s="6" t="s">
        <v>433</v>
      </c>
      <c r="C5" s="6">
        <v>10128</v>
      </c>
      <c r="D5" s="16" t="s">
        <v>37</v>
      </c>
      <c r="E5" s="17" t="s">
        <v>0</v>
      </c>
      <c r="F5" s="13">
        <v>1826</v>
      </c>
      <c r="G5" s="13">
        <v>751</v>
      </c>
      <c r="H5" s="13">
        <v>217</v>
      </c>
      <c r="I5" s="13">
        <v>95</v>
      </c>
      <c r="J5" s="13">
        <v>2</v>
      </c>
    </row>
    <row r="6" spans="1:15" x14ac:dyDescent="0.35">
      <c r="A6" s="74"/>
      <c r="B6" s="74"/>
      <c r="C6" s="74"/>
      <c r="D6" s="16" t="s">
        <v>37</v>
      </c>
      <c r="E6" s="17" t="s">
        <v>15</v>
      </c>
      <c r="F6" s="13">
        <v>3</v>
      </c>
      <c r="G6" s="13">
        <v>2</v>
      </c>
      <c r="H6" s="15"/>
      <c r="I6" s="15"/>
      <c r="J6" s="15"/>
    </row>
    <row r="7" spans="1:15" x14ac:dyDescent="0.35">
      <c r="A7" s="74"/>
      <c r="B7" s="74"/>
      <c r="C7" s="74"/>
      <c r="D7" s="16" t="s">
        <v>38</v>
      </c>
      <c r="E7" s="17" t="s">
        <v>17</v>
      </c>
      <c r="F7" s="12">
        <v>533</v>
      </c>
      <c r="G7" s="12">
        <v>140</v>
      </c>
      <c r="H7" s="12">
        <v>24</v>
      </c>
      <c r="I7" s="12">
        <v>25</v>
      </c>
      <c r="J7" s="12">
        <v>2</v>
      </c>
    </row>
    <row r="8" spans="1:15" x14ac:dyDescent="0.35">
      <c r="A8" s="74"/>
      <c r="B8" s="74"/>
      <c r="C8" s="74"/>
      <c r="D8" s="16" t="s">
        <v>38</v>
      </c>
      <c r="E8" s="203" t="s">
        <v>6</v>
      </c>
      <c r="F8" s="12">
        <v>490</v>
      </c>
      <c r="G8" s="12">
        <v>88</v>
      </c>
      <c r="H8" s="12">
        <v>30</v>
      </c>
      <c r="I8" s="12">
        <v>23</v>
      </c>
      <c r="J8" s="14"/>
    </row>
    <row r="9" spans="1:15" x14ac:dyDescent="0.35">
      <c r="A9" s="74"/>
      <c r="B9" s="74"/>
      <c r="C9" s="74"/>
      <c r="D9" s="16" t="s">
        <v>38</v>
      </c>
      <c r="E9" s="17" t="s">
        <v>7</v>
      </c>
      <c r="F9" s="12">
        <v>547</v>
      </c>
      <c r="G9" s="12">
        <v>89</v>
      </c>
      <c r="H9" s="12">
        <v>9</v>
      </c>
      <c r="I9" s="12">
        <v>14</v>
      </c>
      <c r="J9" s="12">
        <v>1</v>
      </c>
    </row>
    <row r="10" spans="1:15" x14ac:dyDescent="0.35">
      <c r="A10" s="74"/>
      <c r="B10" s="74"/>
      <c r="C10" s="74"/>
      <c r="D10" s="16" t="s">
        <v>38</v>
      </c>
      <c r="E10" s="17" t="s">
        <v>9</v>
      </c>
      <c r="F10" s="12">
        <v>257</v>
      </c>
      <c r="G10" s="12">
        <v>80</v>
      </c>
      <c r="H10" s="12">
        <v>15</v>
      </c>
      <c r="I10" s="12">
        <v>18</v>
      </c>
      <c r="J10" s="14"/>
    </row>
    <row r="11" spans="1:15" x14ac:dyDescent="0.35">
      <c r="A11" s="74"/>
      <c r="B11" s="74"/>
      <c r="C11" s="74"/>
      <c r="D11" s="16" t="s">
        <v>39</v>
      </c>
      <c r="E11" s="17" t="s">
        <v>17</v>
      </c>
      <c r="F11" s="13">
        <v>162</v>
      </c>
      <c r="G11" s="13">
        <v>35</v>
      </c>
      <c r="H11" s="13">
        <v>6</v>
      </c>
      <c r="I11" s="13">
        <v>6</v>
      </c>
      <c r="J11" s="15"/>
    </row>
    <row r="12" spans="1:15" x14ac:dyDescent="0.35">
      <c r="A12" s="74"/>
      <c r="B12" s="74"/>
      <c r="C12" s="74"/>
      <c r="D12" s="16" t="s">
        <v>39</v>
      </c>
      <c r="E12" s="17" t="s">
        <v>4</v>
      </c>
      <c r="F12" s="13">
        <v>281</v>
      </c>
      <c r="G12" s="13">
        <v>34</v>
      </c>
      <c r="H12" s="13">
        <v>9</v>
      </c>
      <c r="I12" s="13">
        <v>8</v>
      </c>
      <c r="J12" s="13">
        <v>1</v>
      </c>
    </row>
    <row r="13" spans="1:15" x14ac:dyDescent="0.35">
      <c r="A13" s="74"/>
      <c r="B13" s="74"/>
      <c r="C13" s="74"/>
      <c r="D13" s="16" t="s">
        <v>39</v>
      </c>
      <c r="E13" s="17" t="s">
        <v>5</v>
      </c>
      <c r="F13" s="13">
        <v>219</v>
      </c>
      <c r="G13" s="13">
        <v>83</v>
      </c>
      <c r="H13" s="13">
        <v>9</v>
      </c>
      <c r="I13" s="13">
        <v>17</v>
      </c>
      <c r="J13" s="15"/>
    </row>
    <row r="14" spans="1:15" x14ac:dyDescent="0.35">
      <c r="A14" s="74"/>
      <c r="B14" s="74"/>
      <c r="C14" s="74"/>
      <c r="D14" s="16" t="s">
        <v>39</v>
      </c>
      <c r="E14" s="17" t="s">
        <v>6</v>
      </c>
      <c r="F14" s="13">
        <v>274</v>
      </c>
      <c r="G14" s="13">
        <v>50</v>
      </c>
      <c r="H14" s="13">
        <v>19</v>
      </c>
      <c r="I14" s="13">
        <v>15</v>
      </c>
      <c r="J14" s="13">
        <v>1</v>
      </c>
    </row>
    <row r="15" spans="1:15" x14ac:dyDescent="0.35">
      <c r="A15" s="74"/>
      <c r="B15" s="74"/>
      <c r="C15" s="74"/>
      <c r="D15" s="16" t="s">
        <v>39</v>
      </c>
      <c r="E15" s="17" t="s">
        <v>9</v>
      </c>
      <c r="F15" s="13">
        <v>14</v>
      </c>
      <c r="G15" s="13">
        <v>2</v>
      </c>
      <c r="H15" s="15"/>
      <c r="I15" s="15"/>
      <c r="J15" s="15"/>
      <c r="K15" s="214">
        <f>SUM(F5:F15)</f>
        <v>4606</v>
      </c>
      <c r="L15" s="214">
        <f>SUM(G5:G15)</f>
        <v>1354</v>
      </c>
      <c r="M15" s="214">
        <f>SUM(H5:H15)</f>
        <v>338</v>
      </c>
      <c r="N15" s="214">
        <f>SUM(I5:I15)</f>
        <v>221</v>
      </c>
      <c r="O15" s="214">
        <f>SUM(J5:J15)</f>
        <v>7</v>
      </c>
    </row>
    <row r="16" spans="1:15" x14ac:dyDescent="0.35">
      <c r="A16" s="3" t="s">
        <v>434</v>
      </c>
      <c r="B16" s="3" t="s">
        <v>435</v>
      </c>
      <c r="C16" s="3">
        <v>1703</v>
      </c>
      <c r="D16" s="16" t="s">
        <v>38</v>
      </c>
      <c r="E16" s="17" t="s">
        <v>2</v>
      </c>
      <c r="F16" s="12">
        <v>97</v>
      </c>
      <c r="G16" s="12">
        <v>23</v>
      </c>
      <c r="H16" s="12">
        <v>3</v>
      </c>
      <c r="I16" s="12">
        <v>6</v>
      </c>
      <c r="J16" s="14"/>
    </row>
    <row r="17" spans="1:17" x14ac:dyDescent="0.35">
      <c r="A17" s="80"/>
      <c r="B17" s="80"/>
      <c r="C17" s="80"/>
      <c r="D17" s="16" t="s">
        <v>38</v>
      </c>
      <c r="E17" s="17" t="s">
        <v>3</v>
      </c>
      <c r="F17" s="12">
        <v>179</v>
      </c>
      <c r="G17" s="12">
        <v>36</v>
      </c>
      <c r="H17" s="12">
        <v>5</v>
      </c>
      <c r="I17" s="12">
        <v>6</v>
      </c>
      <c r="J17" s="12">
        <v>1</v>
      </c>
    </row>
    <row r="18" spans="1:17" x14ac:dyDescent="0.35">
      <c r="A18" s="80"/>
      <c r="B18" s="80"/>
      <c r="C18" s="80"/>
      <c r="D18" s="16" t="s">
        <v>38</v>
      </c>
      <c r="E18" s="17" t="s">
        <v>4</v>
      </c>
      <c r="F18" s="12">
        <v>149</v>
      </c>
      <c r="G18" s="12">
        <v>26</v>
      </c>
      <c r="H18" s="12">
        <v>3</v>
      </c>
      <c r="I18" s="12">
        <v>9</v>
      </c>
      <c r="J18" s="14"/>
    </row>
    <row r="19" spans="1:17" x14ac:dyDescent="0.35">
      <c r="A19" s="80"/>
      <c r="B19" s="80"/>
      <c r="C19" s="80"/>
      <c r="D19" s="16" t="s">
        <v>38</v>
      </c>
      <c r="E19" s="17" t="s">
        <v>5</v>
      </c>
      <c r="F19" s="12">
        <v>165</v>
      </c>
      <c r="G19" s="12">
        <v>33</v>
      </c>
      <c r="H19" s="12">
        <v>7</v>
      </c>
      <c r="I19" s="12">
        <v>2</v>
      </c>
      <c r="J19" s="14"/>
      <c r="K19" s="239"/>
      <c r="L19" s="240"/>
      <c r="M19" s="240"/>
      <c r="N19" s="241"/>
      <c r="O19" s="241"/>
      <c r="P19" s="241"/>
      <c r="Q19" s="241"/>
    </row>
    <row r="20" spans="1:17" x14ac:dyDescent="0.35">
      <c r="A20" s="80"/>
      <c r="B20" s="80"/>
      <c r="C20" s="80"/>
      <c r="D20" s="16" t="s">
        <v>38</v>
      </c>
      <c r="E20" s="17" t="s">
        <v>8</v>
      </c>
      <c r="F20" s="12">
        <v>224</v>
      </c>
      <c r="G20" s="12">
        <v>29</v>
      </c>
      <c r="H20" s="12">
        <v>1</v>
      </c>
      <c r="I20" s="12">
        <v>5</v>
      </c>
      <c r="J20" s="12">
        <v>1</v>
      </c>
      <c r="K20" s="214">
        <f>SUM(F16:F20)</f>
        <v>814</v>
      </c>
      <c r="L20" s="214">
        <f>SUM(G16:G20)</f>
        <v>147</v>
      </c>
      <c r="M20" s="214">
        <f>SUM(H16:H20)</f>
        <v>19</v>
      </c>
      <c r="N20" s="214">
        <f>SUM(I16:I20)</f>
        <v>28</v>
      </c>
      <c r="O20" s="214">
        <f>SUM(J16:J20)</f>
        <v>2</v>
      </c>
    </row>
    <row r="21" spans="1:17" x14ac:dyDescent="0.35">
      <c r="A21" s="6" t="s">
        <v>436</v>
      </c>
      <c r="B21" s="6" t="s">
        <v>437</v>
      </c>
      <c r="C21" s="6">
        <v>1933</v>
      </c>
      <c r="D21" s="16" t="s">
        <v>39</v>
      </c>
      <c r="E21" s="17" t="s">
        <v>2</v>
      </c>
      <c r="F21" s="13">
        <v>123</v>
      </c>
      <c r="G21" s="13">
        <v>31</v>
      </c>
      <c r="H21" s="13">
        <v>4</v>
      </c>
      <c r="I21" s="13">
        <v>5</v>
      </c>
      <c r="J21" s="15"/>
    </row>
    <row r="22" spans="1:17" x14ac:dyDescent="0.35">
      <c r="A22" s="74"/>
      <c r="B22" s="74"/>
      <c r="C22" s="74"/>
      <c r="D22" s="16" t="s">
        <v>39</v>
      </c>
      <c r="E22" s="17" t="s">
        <v>3</v>
      </c>
      <c r="F22" s="13">
        <v>203</v>
      </c>
      <c r="G22" s="13">
        <v>56</v>
      </c>
      <c r="H22" s="13">
        <v>16</v>
      </c>
      <c r="I22" s="13">
        <v>13</v>
      </c>
      <c r="J22" s="15"/>
    </row>
    <row r="23" spans="1:17" x14ac:dyDescent="0.35">
      <c r="A23" s="74"/>
      <c r="B23" s="74"/>
      <c r="C23" s="74"/>
      <c r="D23" s="16" t="s">
        <v>39</v>
      </c>
      <c r="E23" s="17" t="s">
        <v>7</v>
      </c>
      <c r="F23" s="13">
        <v>145</v>
      </c>
      <c r="G23" s="13">
        <v>10</v>
      </c>
      <c r="H23" s="13">
        <v>2</v>
      </c>
      <c r="I23" s="13">
        <v>4</v>
      </c>
      <c r="J23" s="13">
        <v>1</v>
      </c>
    </row>
    <row r="24" spans="1:17" x14ac:dyDescent="0.35">
      <c r="A24" s="74"/>
      <c r="B24" s="74"/>
      <c r="C24" s="74"/>
      <c r="D24" s="16" t="s">
        <v>39</v>
      </c>
      <c r="E24" s="17" t="s">
        <v>8</v>
      </c>
      <c r="F24" s="13">
        <v>156</v>
      </c>
      <c r="G24" s="13">
        <v>30</v>
      </c>
      <c r="H24" s="15"/>
      <c r="I24" s="13">
        <v>1</v>
      </c>
      <c r="J24" s="15"/>
    </row>
    <row r="25" spans="1:17" x14ac:dyDescent="0.35">
      <c r="A25" s="74"/>
      <c r="B25" s="74"/>
      <c r="C25" s="74"/>
      <c r="D25" s="16" t="s">
        <v>39</v>
      </c>
      <c r="E25" s="17" t="s">
        <v>11</v>
      </c>
      <c r="F25" s="13">
        <v>342</v>
      </c>
      <c r="G25" s="13">
        <v>104</v>
      </c>
      <c r="H25" s="13">
        <v>7</v>
      </c>
      <c r="I25" s="13">
        <v>22</v>
      </c>
      <c r="J25" s="15"/>
      <c r="K25" s="214">
        <f>SUM(F21:F25)</f>
        <v>969</v>
      </c>
      <c r="L25" s="214">
        <f t="shared" ref="L25:N25" si="0">SUM(G21:G25)</f>
        <v>231</v>
      </c>
      <c r="M25" s="214">
        <f t="shared" si="0"/>
        <v>29</v>
      </c>
      <c r="N25" s="214">
        <f t="shared" si="0"/>
        <v>45</v>
      </c>
      <c r="O25" s="214">
        <f>SUM(J21:J25)</f>
        <v>1</v>
      </c>
    </row>
    <row r="26" spans="1:17" x14ac:dyDescent="0.35">
      <c r="A26" s="3" t="s">
        <v>438</v>
      </c>
      <c r="B26" s="3" t="s">
        <v>439</v>
      </c>
      <c r="C26" s="3">
        <v>871</v>
      </c>
      <c r="D26" s="16" t="s">
        <v>40</v>
      </c>
      <c r="E26" s="17" t="s">
        <v>17</v>
      </c>
      <c r="F26" s="12">
        <v>52</v>
      </c>
      <c r="G26" s="12">
        <v>5</v>
      </c>
      <c r="H26" s="14"/>
      <c r="I26" s="12">
        <v>3</v>
      </c>
      <c r="J26" s="12">
        <v>1</v>
      </c>
    </row>
    <row r="27" spans="1:17" x14ac:dyDescent="0.35">
      <c r="A27" s="74"/>
      <c r="B27" s="74"/>
      <c r="C27" s="74"/>
      <c r="D27" s="16" t="s">
        <v>40</v>
      </c>
      <c r="E27" s="17" t="s">
        <v>2</v>
      </c>
      <c r="F27" s="12">
        <v>80</v>
      </c>
      <c r="G27" s="12">
        <v>18</v>
      </c>
      <c r="H27" s="12">
        <v>5</v>
      </c>
      <c r="I27" s="12">
        <v>3</v>
      </c>
      <c r="J27" s="14"/>
    </row>
    <row r="28" spans="1:17" x14ac:dyDescent="0.35">
      <c r="A28" s="74"/>
      <c r="B28" s="74"/>
      <c r="C28" s="74"/>
      <c r="D28" s="16" t="s">
        <v>40</v>
      </c>
      <c r="E28" s="17" t="s">
        <v>6</v>
      </c>
      <c r="F28" s="12">
        <v>62</v>
      </c>
      <c r="G28" s="12">
        <v>34</v>
      </c>
      <c r="H28" s="12">
        <v>3</v>
      </c>
      <c r="I28" s="12">
        <v>2</v>
      </c>
      <c r="J28" s="14"/>
      <c r="K28" s="239"/>
      <c r="L28" s="240"/>
      <c r="M28" s="240"/>
      <c r="N28" s="240"/>
      <c r="O28" s="240"/>
      <c r="P28" s="240"/>
      <c r="Q28" s="241"/>
    </row>
    <row r="29" spans="1:17" x14ac:dyDescent="0.35">
      <c r="A29" s="74"/>
      <c r="B29" s="74"/>
      <c r="C29" s="74"/>
      <c r="D29" s="16" t="s">
        <v>40</v>
      </c>
      <c r="E29" s="17" t="s">
        <v>7</v>
      </c>
      <c r="F29" s="12">
        <v>66</v>
      </c>
      <c r="G29" s="12">
        <v>21</v>
      </c>
      <c r="H29" s="12">
        <v>4</v>
      </c>
      <c r="I29" s="12">
        <v>2</v>
      </c>
      <c r="J29" s="12">
        <v>1</v>
      </c>
    </row>
    <row r="30" spans="1:17" x14ac:dyDescent="0.35">
      <c r="A30" s="74"/>
      <c r="B30" s="74"/>
      <c r="C30" s="74"/>
      <c r="D30" s="16" t="s">
        <v>40</v>
      </c>
      <c r="E30" s="17" t="s">
        <v>8</v>
      </c>
      <c r="F30" s="12">
        <v>62</v>
      </c>
      <c r="G30" s="12">
        <v>10</v>
      </c>
      <c r="H30" s="12">
        <v>5</v>
      </c>
      <c r="I30" s="12">
        <v>3</v>
      </c>
      <c r="J30" s="14"/>
    </row>
    <row r="31" spans="1:17" x14ac:dyDescent="0.35">
      <c r="D31" s="16" t="s">
        <v>40</v>
      </c>
      <c r="E31" s="17" t="s">
        <v>9</v>
      </c>
      <c r="F31" s="12">
        <v>71</v>
      </c>
      <c r="G31" s="12">
        <v>9</v>
      </c>
      <c r="H31" s="12">
        <v>1</v>
      </c>
      <c r="I31" s="12">
        <v>1</v>
      </c>
      <c r="J31" s="14"/>
      <c r="K31" s="214">
        <f>SUM(F26:F31)</f>
        <v>393</v>
      </c>
      <c r="L31" s="214">
        <f t="shared" ref="L31:N31" si="1">SUM(G26:G31)</f>
        <v>97</v>
      </c>
      <c r="M31" s="214">
        <f t="shared" si="1"/>
        <v>18</v>
      </c>
      <c r="N31" s="214">
        <f t="shared" si="1"/>
        <v>14</v>
      </c>
      <c r="O31" s="214">
        <f>SUM(J26:J31)</f>
        <v>2</v>
      </c>
    </row>
    <row r="32" spans="1:17" x14ac:dyDescent="0.35">
      <c r="A32" s="3" t="s">
        <v>440</v>
      </c>
      <c r="B32" s="3" t="s">
        <v>441</v>
      </c>
      <c r="C32" s="3">
        <v>1027</v>
      </c>
      <c r="D32" s="16" t="s">
        <v>40</v>
      </c>
      <c r="E32" s="17" t="s">
        <v>3</v>
      </c>
      <c r="F32" s="12">
        <v>125</v>
      </c>
      <c r="G32" s="12">
        <v>37</v>
      </c>
      <c r="H32" s="12">
        <v>5</v>
      </c>
      <c r="I32" s="12">
        <v>4</v>
      </c>
      <c r="J32" s="14"/>
    </row>
    <row r="33" spans="1:15" x14ac:dyDescent="0.35">
      <c r="A33" s="80"/>
      <c r="B33" s="80"/>
      <c r="C33" s="80"/>
      <c r="D33" s="16" t="s">
        <v>40</v>
      </c>
      <c r="E33" s="17" t="s">
        <v>4</v>
      </c>
      <c r="F33" s="12">
        <v>135</v>
      </c>
      <c r="G33" s="12">
        <v>22</v>
      </c>
      <c r="H33" s="12">
        <v>3</v>
      </c>
      <c r="I33" s="12">
        <v>9</v>
      </c>
      <c r="J33" s="14"/>
    </row>
    <row r="34" spans="1:15" x14ac:dyDescent="0.35">
      <c r="A34" s="80"/>
      <c r="B34" s="80"/>
      <c r="C34" s="80"/>
      <c r="D34" s="16" t="s">
        <v>40</v>
      </c>
      <c r="E34" s="17" t="s">
        <v>5</v>
      </c>
      <c r="F34" s="12">
        <v>180</v>
      </c>
      <c r="G34" s="12">
        <v>14</v>
      </c>
      <c r="H34" s="12">
        <v>2</v>
      </c>
      <c r="I34" s="12">
        <v>2</v>
      </c>
      <c r="J34" s="14"/>
      <c r="K34" s="214">
        <f>SUM(F32:F34)</f>
        <v>440</v>
      </c>
      <c r="L34" s="214">
        <f t="shared" ref="L34:O34" si="2">SUM(G32:G34)</f>
        <v>73</v>
      </c>
      <c r="M34" s="214">
        <f t="shared" si="2"/>
        <v>10</v>
      </c>
      <c r="N34" s="214">
        <f t="shared" si="2"/>
        <v>15</v>
      </c>
      <c r="O34" s="214">
        <f t="shared" si="2"/>
        <v>0</v>
      </c>
    </row>
    <row r="35" spans="1:15" x14ac:dyDescent="0.35">
      <c r="A35" s="6" t="s">
        <v>442</v>
      </c>
      <c r="B35" s="6" t="s">
        <v>443</v>
      </c>
      <c r="C35" s="6">
        <v>1332</v>
      </c>
      <c r="D35" s="16" t="s">
        <v>41</v>
      </c>
      <c r="E35" s="17" t="s">
        <v>17</v>
      </c>
      <c r="F35" s="13">
        <v>285</v>
      </c>
      <c r="G35" s="13">
        <v>16</v>
      </c>
      <c r="H35" s="13">
        <v>6</v>
      </c>
      <c r="I35" s="13">
        <v>8</v>
      </c>
      <c r="J35" s="13">
        <v>1</v>
      </c>
    </row>
    <row r="36" spans="1:15" x14ac:dyDescent="0.35">
      <c r="A36" s="6"/>
      <c r="B36" s="6"/>
      <c r="C36" s="6"/>
      <c r="D36" s="16" t="s">
        <v>41</v>
      </c>
      <c r="E36" s="17" t="s">
        <v>3</v>
      </c>
      <c r="F36" s="13">
        <v>58</v>
      </c>
      <c r="G36" s="13">
        <v>10</v>
      </c>
      <c r="H36" s="13">
        <v>3</v>
      </c>
      <c r="I36" s="13">
        <v>1</v>
      </c>
      <c r="J36" s="15"/>
    </row>
    <row r="37" spans="1:15" x14ac:dyDescent="0.35">
      <c r="A37" s="6"/>
      <c r="B37" s="6"/>
      <c r="C37" s="6"/>
      <c r="D37" s="16" t="s">
        <v>41</v>
      </c>
      <c r="E37" s="17" t="s">
        <v>4</v>
      </c>
      <c r="F37" s="13">
        <v>98</v>
      </c>
      <c r="G37" s="13">
        <v>18</v>
      </c>
      <c r="H37" s="15"/>
      <c r="I37" s="13">
        <v>2</v>
      </c>
      <c r="J37" s="15"/>
    </row>
    <row r="38" spans="1:15" x14ac:dyDescent="0.35">
      <c r="A38" s="6"/>
      <c r="B38" s="6"/>
      <c r="C38" s="6"/>
      <c r="D38" s="16" t="s">
        <v>41</v>
      </c>
      <c r="E38" s="17" t="s">
        <v>5</v>
      </c>
      <c r="F38" s="13">
        <v>33</v>
      </c>
      <c r="G38" s="13">
        <v>10</v>
      </c>
      <c r="H38" s="13">
        <v>2</v>
      </c>
      <c r="I38" s="13">
        <v>3</v>
      </c>
      <c r="J38" s="15"/>
    </row>
    <row r="39" spans="1:15" x14ac:dyDescent="0.35">
      <c r="A39" s="6"/>
      <c r="B39" s="6"/>
      <c r="C39" s="6"/>
      <c r="D39" s="16" t="s">
        <v>41</v>
      </c>
      <c r="E39" s="17" t="s">
        <v>7</v>
      </c>
      <c r="F39" s="13">
        <v>73</v>
      </c>
      <c r="G39" s="13">
        <v>16</v>
      </c>
      <c r="H39" s="13">
        <v>2</v>
      </c>
      <c r="I39" s="13">
        <v>4</v>
      </c>
      <c r="J39" s="15"/>
    </row>
    <row r="40" spans="1:15" x14ac:dyDescent="0.35">
      <c r="A40" s="6"/>
      <c r="B40" s="6"/>
      <c r="C40" s="6"/>
      <c r="D40" s="16" t="s">
        <v>41</v>
      </c>
      <c r="E40" s="17" t="s">
        <v>8</v>
      </c>
      <c r="F40" s="13">
        <v>58</v>
      </c>
      <c r="G40" s="13">
        <v>24</v>
      </c>
      <c r="H40" s="13">
        <v>2</v>
      </c>
      <c r="I40" s="13">
        <v>1</v>
      </c>
      <c r="J40" s="13">
        <v>1</v>
      </c>
    </row>
    <row r="41" spans="1:15" x14ac:dyDescent="0.35">
      <c r="A41" s="6"/>
      <c r="B41" s="6"/>
      <c r="C41" s="6"/>
      <c r="D41" s="16" t="s">
        <v>41</v>
      </c>
      <c r="E41" s="17" t="s">
        <v>13</v>
      </c>
      <c r="F41" s="13">
        <v>22</v>
      </c>
      <c r="G41" s="13">
        <v>14</v>
      </c>
      <c r="H41" s="13">
        <v>1</v>
      </c>
      <c r="I41" s="13">
        <v>1</v>
      </c>
      <c r="J41" s="15"/>
    </row>
    <row r="42" spans="1:15" x14ac:dyDescent="0.35">
      <c r="A42" s="6"/>
      <c r="B42" s="6"/>
      <c r="C42" s="6"/>
      <c r="D42" s="16" t="s">
        <v>41</v>
      </c>
      <c r="E42" s="17" t="s">
        <v>22</v>
      </c>
      <c r="F42" s="13">
        <v>60</v>
      </c>
      <c r="G42" s="13">
        <v>12</v>
      </c>
      <c r="H42" s="15"/>
      <c r="I42" s="13">
        <v>3</v>
      </c>
      <c r="J42" s="15"/>
      <c r="K42" s="214">
        <f>SUM(F35:F42)</f>
        <v>687</v>
      </c>
      <c r="L42" s="214">
        <f t="shared" ref="L42:O42" si="3">SUM(G35:G42)</f>
        <v>120</v>
      </c>
      <c r="M42" s="214">
        <f t="shared" si="3"/>
        <v>16</v>
      </c>
      <c r="N42" s="214">
        <f t="shared" si="3"/>
        <v>23</v>
      </c>
      <c r="O42" s="214">
        <f t="shared" si="3"/>
        <v>2</v>
      </c>
    </row>
    <row r="43" spans="1:15" x14ac:dyDescent="0.35">
      <c r="A43" s="6" t="s">
        <v>444</v>
      </c>
      <c r="B43" s="6" t="s">
        <v>445</v>
      </c>
      <c r="C43" s="6">
        <v>1398</v>
      </c>
      <c r="D43" s="16" t="s">
        <v>41</v>
      </c>
      <c r="E43" s="17" t="s">
        <v>2</v>
      </c>
      <c r="F43" s="13">
        <v>61</v>
      </c>
      <c r="G43" s="13">
        <v>14</v>
      </c>
      <c r="H43" s="13">
        <v>3</v>
      </c>
      <c r="I43" s="13">
        <v>1</v>
      </c>
      <c r="J43" s="13">
        <v>1</v>
      </c>
    </row>
    <row r="44" spans="1:15" x14ac:dyDescent="0.35">
      <c r="A44" s="74"/>
      <c r="B44" s="74"/>
      <c r="C44" s="74"/>
      <c r="D44" s="16" t="s">
        <v>41</v>
      </c>
      <c r="E44" s="17" t="s">
        <v>6</v>
      </c>
      <c r="F44" s="13">
        <v>59</v>
      </c>
      <c r="G44" s="13">
        <v>18</v>
      </c>
      <c r="H44" s="15"/>
      <c r="I44" s="13">
        <v>2</v>
      </c>
      <c r="J44" s="15"/>
    </row>
    <row r="45" spans="1:15" x14ac:dyDescent="0.35">
      <c r="A45" s="74"/>
      <c r="B45" s="74"/>
      <c r="C45" s="74"/>
      <c r="D45" s="16" t="s">
        <v>41</v>
      </c>
      <c r="E45" s="17" t="s">
        <v>9</v>
      </c>
      <c r="F45" s="13">
        <v>40</v>
      </c>
      <c r="G45" s="13">
        <v>15</v>
      </c>
      <c r="H45" s="15"/>
      <c r="I45" s="13">
        <v>2</v>
      </c>
      <c r="J45" s="15"/>
    </row>
    <row r="46" spans="1:15" x14ac:dyDescent="0.35">
      <c r="A46" s="74"/>
      <c r="B46" s="74"/>
      <c r="C46" s="74"/>
      <c r="D46" s="16" t="s">
        <v>41</v>
      </c>
      <c r="E46" s="17" t="s">
        <v>11</v>
      </c>
      <c r="F46" s="13">
        <v>239</v>
      </c>
      <c r="G46" s="13">
        <v>33</v>
      </c>
      <c r="H46" s="13">
        <v>8</v>
      </c>
      <c r="I46" s="13">
        <v>7</v>
      </c>
      <c r="J46" s="13">
        <v>1</v>
      </c>
    </row>
    <row r="47" spans="1:15" x14ac:dyDescent="0.35">
      <c r="A47" s="74"/>
      <c r="B47" s="74"/>
      <c r="C47" s="74"/>
      <c r="D47" s="16" t="s">
        <v>41</v>
      </c>
      <c r="E47" s="17" t="s">
        <v>12</v>
      </c>
      <c r="F47" s="13">
        <v>187</v>
      </c>
      <c r="G47" s="13">
        <v>19</v>
      </c>
      <c r="H47" s="13">
        <v>4</v>
      </c>
      <c r="I47" s="13">
        <v>1</v>
      </c>
      <c r="J47" s="15"/>
    </row>
    <row r="48" spans="1:15" x14ac:dyDescent="0.35">
      <c r="A48" s="74"/>
      <c r="B48" s="74"/>
      <c r="C48" s="74"/>
      <c r="D48" s="16" t="s">
        <v>41</v>
      </c>
      <c r="E48" s="17" t="s">
        <v>21</v>
      </c>
      <c r="F48" s="13">
        <v>67</v>
      </c>
      <c r="G48" s="13">
        <v>5</v>
      </c>
      <c r="H48" s="13">
        <v>1</v>
      </c>
      <c r="I48" s="13">
        <v>4</v>
      </c>
      <c r="J48" s="15"/>
    </row>
    <row r="49" spans="1:15" x14ac:dyDescent="0.35">
      <c r="A49" s="74"/>
      <c r="B49" s="74"/>
      <c r="C49" s="74"/>
      <c r="D49" s="16" t="s">
        <v>41</v>
      </c>
      <c r="E49" s="17" t="s">
        <v>42</v>
      </c>
      <c r="F49" s="13">
        <v>97</v>
      </c>
      <c r="G49" s="13">
        <v>13</v>
      </c>
      <c r="H49" s="13">
        <v>14</v>
      </c>
      <c r="I49" s="13">
        <v>4</v>
      </c>
      <c r="J49" s="15"/>
      <c r="K49" s="214">
        <f>SUM(F43:F49)</f>
        <v>750</v>
      </c>
      <c r="L49" s="214">
        <f t="shared" ref="L49:O49" si="4">SUM(G43:G49)</f>
        <v>117</v>
      </c>
      <c r="M49" s="214">
        <f t="shared" si="4"/>
        <v>30</v>
      </c>
      <c r="N49" s="214">
        <f t="shared" si="4"/>
        <v>21</v>
      </c>
      <c r="O49" s="214">
        <f t="shared" si="4"/>
        <v>2</v>
      </c>
    </row>
    <row r="50" spans="1:15" x14ac:dyDescent="0.35">
      <c r="A50" s="3" t="s">
        <v>446</v>
      </c>
      <c r="B50" s="3" t="s">
        <v>447</v>
      </c>
      <c r="C50" s="3">
        <v>1891</v>
      </c>
      <c r="D50" s="16" t="s">
        <v>43</v>
      </c>
      <c r="E50" s="17" t="s">
        <v>17</v>
      </c>
      <c r="F50" s="12">
        <v>37</v>
      </c>
      <c r="G50" s="12">
        <v>20</v>
      </c>
      <c r="H50" s="14"/>
      <c r="I50" s="12">
        <v>1</v>
      </c>
      <c r="J50" s="14"/>
    </row>
    <row r="51" spans="1:15" x14ac:dyDescent="0.35">
      <c r="A51" s="80"/>
      <c r="B51" s="80"/>
      <c r="C51" s="80"/>
      <c r="D51" s="16" t="s">
        <v>43</v>
      </c>
      <c r="E51" s="17" t="s">
        <v>2</v>
      </c>
      <c r="F51" s="12">
        <v>106</v>
      </c>
      <c r="G51" s="12">
        <v>35</v>
      </c>
      <c r="H51" s="12">
        <v>3</v>
      </c>
      <c r="I51" s="12">
        <v>16</v>
      </c>
      <c r="J51" s="14"/>
    </row>
    <row r="52" spans="1:15" x14ac:dyDescent="0.35">
      <c r="A52" s="80"/>
      <c r="B52" s="80"/>
      <c r="C52" s="80"/>
      <c r="D52" s="16" t="s">
        <v>43</v>
      </c>
      <c r="E52" s="17" t="s">
        <v>3</v>
      </c>
      <c r="F52" s="12">
        <v>131</v>
      </c>
      <c r="G52" s="12">
        <v>51</v>
      </c>
      <c r="H52" s="14"/>
      <c r="I52" s="12">
        <v>5</v>
      </c>
      <c r="J52" s="14"/>
    </row>
    <row r="53" spans="1:15" x14ac:dyDescent="0.35">
      <c r="A53" s="80"/>
      <c r="B53" s="80"/>
      <c r="C53" s="80"/>
      <c r="D53" s="16" t="s">
        <v>43</v>
      </c>
      <c r="E53" s="17" t="s">
        <v>4</v>
      </c>
      <c r="F53" s="12">
        <v>96</v>
      </c>
      <c r="G53" s="12">
        <v>23</v>
      </c>
      <c r="H53" s="12">
        <v>1</v>
      </c>
      <c r="I53" s="12">
        <v>4</v>
      </c>
      <c r="J53" s="14"/>
    </row>
    <row r="54" spans="1:15" x14ac:dyDescent="0.35">
      <c r="A54" s="80"/>
      <c r="B54" s="80"/>
      <c r="C54" s="80"/>
      <c r="D54" s="16" t="s">
        <v>43</v>
      </c>
      <c r="E54" s="17" t="s">
        <v>5</v>
      </c>
      <c r="F54" s="12">
        <v>152</v>
      </c>
      <c r="G54" s="12">
        <v>33</v>
      </c>
      <c r="H54" s="12">
        <v>13</v>
      </c>
      <c r="I54" s="12">
        <v>11</v>
      </c>
      <c r="J54" s="14"/>
    </row>
    <row r="55" spans="1:15" x14ac:dyDescent="0.35">
      <c r="A55" s="80"/>
      <c r="B55" s="80"/>
      <c r="C55" s="80"/>
      <c r="D55" s="16" t="s">
        <v>43</v>
      </c>
      <c r="E55" s="17" t="s">
        <v>6</v>
      </c>
      <c r="F55" s="12">
        <v>96</v>
      </c>
      <c r="G55" s="12">
        <v>31</v>
      </c>
      <c r="H55" s="14"/>
      <c r="I55" s="12">
        <v>3</v>
      </c>
      <c r="J55" s="14"/>
    </row>
    <row r="56" spans="1:15" x14ac:dyDescent="0.35">
      <c r="A56" s="80"/>
      <c r="B56" s="80"/>
      <c r="C56" s="80"/>
      <c r="D56" s="16" t="s">
        <v>43</v>
      </c>
      <c r="E56" s="17" t="s">
        <v>7</v>
      </c>
      <c r="F56" s="12">
        <v>100</v>
      </c>
      <c r="G56" s="12">
        <v>20</v>
      </c>
      <c r="H56" s="14"/>
      <c r="I56" s="12">
        <v>7</v>
      </c>
      <c r="J56" s="14"/>
    </row>
    <row r="57" spans="1:15" x14ac:dyDescent="0.35">
      <c r="A57" s="80"/>
      <c r="B57" s="80"/>
      <c r="C57" s="80"/>
      <c r="D57" s="16" t="s">
        <v>43</v>
      </c>
      <c r="E57" s="17" t="s">
        <v>8</v>
      </c>
      <c r="F57" s="12">
        <v>152</v>
      </c>
      <c r="G57" s="12">
        <v>11</v>
      </c>
      <c r="H57" s="14"/>
      <c r="I57" s="12">
        <v>2</v>
      </c>
      <c r="J57" s="14"/>
      <c r="K57" s="214">
        <f>SUM(F50:F57)</f>
        <v>870</v>
      </c>
      <c r="L57" s="214">
        <f t="shared" ref="L57:O57" si="5">SUM(G50:G57)</f>
        <v>224</v>
      </c>
      <c r="M57" s="214">
        <f t="shared" si="5"/>
        <v>17</v>
      </c>
      <c r="N57" s="214">
        <f t="shared" si="5"/>
        <v>49</v>
      </c>
      <c r="O57" s="214">
        <f t="shared" si="5"/>
        <v>0</v>
      </c>
    </row>
    <row r="58" spans="1:15" x14ac:dyDescent="0.35">
      <c r="A58" s="6" t="s">
        <v>448</v>
      </c>
      <c r="B58" s="6" t="s">
        <v>449</v>
      </c>
      <c r="C58" s="6">
        <v>852</v>
      </c>
      <c r="D58" s="16" t="s">
        <v>44</v>
      </c>
      <c r="E58" s="17" t="s">
        <v>17</v>
      </c>
      <c r="F58" s="13">
        <v>226</v>
      </c>
      <c r="G58" s="13">
        <v>44</v>
      </c>
      <c r="H58" s="13">
        <v>16</v>
      </c>
      <c r="I58" s="13">
        <v>7</v>
      </c>
      <c r="J58" s="15"/>
    </row>
    <row r="59" spans="1:15" x14ac:dyDescent="0.35">
      <c r="A59" s="6"/>
      <c r="B59" s="6"/>
      <c r="C59" s="6"/>
      <c r="D59" s="16" t="s">
        <v>44</v>
      </c>
      <c r="E59" s="17" t="s">
        <v>3</v>
      </c>
      <c r="F59" s="13">
        <v>157</v>
      </c>
      <c r="G59" s="13">
        <v>15</v>
      </c>
      <c r="H59" s="13">
        <v>4</v>
      </c>
      <c r="I59" s="13">
        <v>4</v>
      </c>
      <c r="J59" s="13">
        <v>1</v>
      </c>
    </row>
    <row r="60" spans="1:15" x14ac:dyDescent="0.35">
      <c r="A60" s="6"/>
      <c r="B60" s="6"/>
      <c r="C60" s="6"/>
      <c r="D60" s="16" t="s">
        <v>44</v>
      </c>
      <c r="E60" s="17" t="s">
        <v>5</v>
      </c>
      <c r="F60" s="13">
        <v>118</v>
      </c>
      <c r="G60" s="13">
        <v>25</v>
      </c>
      <c r="H60" s="13">
        <v>4</v>
      </c>
      <c r="I60" s="13">
        <v>6</v>
      </c>
      <c r="J60" s="15"/>
      <c r="K60" s="214">
        <f>SUM(F58:F60)</f>
        <v>501</v>
      </c>
      <c r="L60" s="214">
        <f t="shared" ref="L60:O60" si="6">SUM(G58:G60)</f>
        <v>84</v>
      </c>
      <c r="M60" s="214">
        <f t="shared" si="6"/>
        <v>24</v>
      </c>
      <c r="N60" s="214">
        <f t="shared" si="6"/>
        <v>17</v>
      </c>
      <c r="O60" s="214">
        <f t="shared" si="6"/>
        <v>1</v>
      </c>
    </row>
    <row r="61" spans="1:15" x14ac:dyDescent="0.35">
      <c r="A61" s="6" t="s">
        <v>450</v>
      </c>
      <c r="B61" s="6" t="s">
        <v>824</v>
      </c>
      <c r="C61" s="6">
        <v>1022</v>
      </c>
      <c r="D61" s="16" t="s">
        <v>44</v>
      </c>
      <c r="E61" s="17" t="s">
        <v>2</v>
      </c>
      <c r="F61" s="13">
        <v>179</v>
      </c>
      <c r="G61" s="13">
        <v>42</v>
      </c>
      <c r="H61" s="13">
        <v>9</v>
      </c>
      <c r="I61" s="13">
        <v>6</v>
      </c>
      <c r="J61" s="15"/>
    </row>
    <row r="62" spans="1:15" x14ac:dyDescent="0.35">
      <c r="A62" s="74"/>
      <c r="B62" s="74"/>
      <c r="C62" s="74"/>
      <c r="D62" s="16" t="s">
        <v>44</v>
      </c>
      <c r="E62" s="17" t="s">
        <v>4</v>
      </c>
      <c r="F62" s="13">
        <v>147</v>
      </c>
      <c r="G62" s="13">
        <v>25</v>
      </c>
      <c r="H62" s="13">
        <v>6</v>
      </c>
      <c r="I62" s="13">
        <v>4</v>
      </c>
      <c r="J62" s="13">
        <v>1</v>
      </c>
    </row>
    <row r="63" spans="1:15" x14ac:dyDescent="0.35">
      <c r="A63" s="74"/>
      <c r="B63" s="74"/>
      <c r="C63" s="74"/>
      <c r="D63" s="16" t="s">
        <v>44</v>
      </c>
      <c r="E63" s="17" t="s">
        <v>6</v>
      </c>
      <c r="F63" s="13">
        <v>160</v>
      </c>
      <c r="G63" s="13">
        <v>5</v>
      </c>
      <c r="H63" s="13">
        <v>2</v>
      </c>
      <c r="I63" s="13">
        <v>2</v>
      </c>
      <c r="J63" s="13">
        <v>1</v>
      </c>
      <c r="K63" s="214">
        <f>SUM(F61:F63)</f>
        <v>486</v>
      </c>
      <c r="L63" s="214">
        <f t="shared" ref="L63:O63" si="7">SUM(G61:G63)</f>
        <v>72</v>
      </c>
      <c r="M63" s="214">
        <f t="shared" si="7"/>
        <v>17</v>
      </c>
      <c r="N63" s="214">
        <f t="shared" si="7"/>
        <v>12</v>
      </c>
      <c r="O63" s="214">
        <f t="shared" si="7"/>
        <v>2</v>
      </c>
    </row>
    <row r="64" spans="1:15" x14ac:dyDescent="0.35">
      <c r="A64" s="3" t="s">
        <v>451</v>
      </c>
      <c r="B64" s="3" t="s">
        <v>452</v>
      </c>
      <c r="C64" s="3">
        <v>1603</v>
      </c>
      <c r="D64" s="16" t="s">
        <v>45</v>
      </c>
      <c r="E64" s="17" t="s">
        <v>17</v>
      </c>
      <c r="F64" s="12">
        <v>99</v>
      </c>
      <c r="G64" s="12">
        <v>38</v>
      </c>
      <c r="H64" s="12">
        <v>4</v>
      </c>
      <c r="I64" s="14"/>
      <c r="J64" s="14"/>
    </row>
    <row r="65" spans="1:15" x14ac:dyDescent="0.35">
      <c r="A65" s="80"/>
      <c r="B65" s="80"/>
      <c r="C65" s="80"/>
      <c r="D65" s="16" t="s">
        <v>45</v>
      </c>
      <c r="E65" s="17" t="s">
        <v>2</v>
      </c>
      <c r="F65" s="12">
        <v>103</v>
      </c>
      <c r="G65" s="12">
        <v>43</v>
      </c>
      <c r="H65" s="12">
        <v>11</v>
      </c>
      <c r="I65" s="12">
        <v>4</v>
      </c>
      <c r="J65" s="14"/>
    </row>
    <row r="66" spans="1:15" x14ac:dyDescent="0.35">
      <c r="A66" s="80"/>
      <c r="B66" s="80"/>
      <c r="C66" s="80"/>
      <c r="D66" s="16" t="s">
        <v>45</v>
      </c>
      <c r="E66" s="17" t="s">
        <v>3</v>
      </c>
      <c r="F66" s="12">
        <v>100</v>
      </c>
      <c r="G66" s="12">
        <v>43</v>
      </c>
      <c r="H66" s="12">
        <v>2</v>
      </c>
      <c r="I66" s="12">
        <v>5</v>
      </c>
      <c r="J66" s="14"/>
    </row>
    <row r="67" spans="1:15" x14ac:dyDescent="0.35">
      <c r="A67" s="80"/>
      <c r="B67" s="80"/>
      <c r="C67" s="80"/>
      <c r="D67" s="16" t="s">
        <v>45</v>
      </c>
      <c r="E67" s="17" t="s">
        <v>4</v>
      </c>
      <c r="F67" s="12">
        <v>103</v>
      </c>
      <c r="G67" s="12">
        <v>38</v>
      </c>
      <c r="H67" s="12">
        <v>4</v>
      </c>
      <c r="I67" s="12">
        <v>5</v>
      </c>
      <c r="J67" s="14"/>
    </row>
    <row r="68" spans="1:15" x14ac:dyDescent="0.35">
      <c r="A68" s="80"/>
      <c r="B68" s="80"/>
      <c r="C68" s="80"/>
      <c r="D68" s="16" t="s">
        <v>45</v>
      </c>
      <c r="E68" s="17" t="s">
        <v>5</v>
      </c>
      <c r="F68" s="12">
        <v>297</v>
      </c>
      <c r="G68" s="12">
        <v>13</v>
      </c>
      <c r="H68" s="12">
        <v>3</v>
      </c>
      <c r="I68" s="12">
        <v>5</v>
      </c>
      <c r="J68" s="14"/>
    </row>
    <row r="69" spans="1:15" x14ac:dyDescent="0.35">
      <c r="A69" s="80"/>
      <c r="B69" s="80"/>
      <c r="C69" s="80"/>
      <c r="D69" s="16" t="s">
        <v>45</v>
      </c>
      <c r="E69" s="17" t="s">
        <v>6</v>
      </c>
      <c r="F69" s="12">
        <v>37</v>
      </c>
      <c r="G69" s="12">
        <v>9</v>
      </c>
      <c r="H69" s="12">
        <v>4</v>
      </c>
      <c r="I69" s="12">
        <v>2</v>
      </c>
      <c r="J69" s="14"/>
    </row>
    <row r="70" spans="1:15" x14ac:dyDescent="0.35">
      <c r="A70" s="80"/>
      <c r="B70" s="80"/>
      <c r="C70" s="80"/>
      <c r="D70" s="16" t="s">
        <v>45</v>
      </c>
      <c r="E70" s="17" t="s">
        <v>7</v>
      </c>
      <c r="F70" s="12">
        <v>68</v>
      </c>
      <c r="G70" s="12">
        <v>8</v>
      </c>
      <c r="H70" s="14"/>
      <c r="I70" s="12">
        <v>1</v>
      </c>
      <c r="J70" s="14"/>
    </row>
    <row r="71" spans="1:15" x14ac:dyDescent="0.35">
      <c r="A71" s="80"/>
      <c r="B71" s="80"/>
      <c r="C71" s="80"/>
      <c r="D71" s="16" t="s">
        <v>45</v>
      </c>
      <c r="E71" s="17" t="s">
        <v>8</v>
      </c>
      <c r="F71" s="12">
        <v>75</v>
      </c>
      <c r="G71" s="12">
        <v>15</v>
      </c>
      <c r="H71" s="14"/>
      <c r="I71" s="12">
        <v>6</v>
      </c>
      <c r="J71" s="14"/>
      <c r="K71" s="214">
        <f>SUM(F64:F71)</f>
        <v>882</v>
      </c>
      <c r="L71" s="214">
        <f t="shared" ref="L71:O71" si="8">SUM(G64:G71)</f>
        <v>207</v>
      </c>
      <c r="M71" s="214">
        <f t="shared" si="8"/>
        <v>28</v>
      </c>
      <c r="N71" s="214">
        <f t="shared" si="8"/>
        <v>28</v>
      </c>
      <c r="O71" s="214">
        <f t="shared" si="8"/>
        <v>0</v>
      </c>
    </row>
    <row r="72" spans="1:15" x14ac:dyDescent="0.35">
      <c r="A72" s="6" t="s">
        <v>453</v>
      </c>
      <c r="B72" s="6" t="s">
        <v>454</v>
      </c>
      <c r="C72" s="6">
        <v>2420</v>
      </c>
      <c r="D72" s="16" t="s">
        <v>46</v>
      </c>
      <c r="E72" s="17" t="s">
        <v>17</v>
      </c>
      <c r="F72" s="13">
        <v>70</v>
      </c>
      <c r="G72" s="13">
        <v>3</v>
      </c>
      <c r="H72" s="13">
        <v>2</v>
      </c>
      <c r="I72" s="13">
        <v>1</v>
      </c>
      <c r="J72" s="15"/>
    </row>
    <row r="73" spans="1:15" x14ac:dyDescent="0.35">
      <c r="A73" s="74"/>
      <c r="B73" s="74"/>
      <c r="C73" s="74"/>
      <c r="D73" s="16" t="s">
        <v>46</v>
      </c>
      <c r="E73" s="17" t="s">
        <v>2</v>
      </c>
      <c r="F73" s="13">
        <v>161</v>
      </c>
      <c r="G73" s="13">
        <v>47</v>
      </c>
      <c r="H73" s="13">
        <v>11</v>
      </c>
      <c r="I73" s="13">
        <v>10</v>
      </c>
      <c r="J73" s="13">
        <v>1</v>
      </c>
    </row>
    <row r="74" spans="1:15" x14ac:dyDescent="0.35">
      <c r="A74" s="74"/>
      <c r="B74" s="74"/>
      <c r="C74" s="74"/>
      <c r="D74" s="16" t="s">
        <v>46</v>
      </c>
      <c r="E74" s="17" t="s">
        <v>3</v>
      </c>
      <c r="F74" s="13">
        <v>124</v>
      </c>
      <c r="G74" s="13">
        <v>21</v>
      </c>
      <c r="H74" s="13">
        <v>2</v>
      </c>
      <c r="I74" s="13">
        <v>3</v>
      </c>
      <c r="J74" s="15"/>
    </row>
    <row r="75" spans="1:15" x14ac:dyDescent="0.35">
      <c r="A75" s="74"/>
      <c r="B75" s="74"/>
      <c r="C75" s="74"/>
      <c r="D75" s="16" t="s">
        <v>46</v>
      </c>
      <c r="E75" s="17" t="s">
        <v>4</v>
      </c>
      <c r="F75" s="13">
        <v>103</v>
      </c>
      <c r="G75" s="13">
        <v>30</v>
      </c>
      <c r="H75" s="15"/>
      <c r="I75" s="13">
        <v>5</v>
      </c>
      <c r="J75" s="15"/>
    </row>
    <row r="76" spans="1:15" x14ac:dyDescent="0.35">
      <c r="A76" s="74"/>
      <c r="B76" s="74"/>
      <c r="C76" s="74"/>
      <c r="D76" s="16" t="s">
        <v>46</v>
      </c>
      <c r="E76" s="17" t="s">
        <v>5</v>
      </c>
      <c r="F76" s="13">
        <v>72</v>
      </c>
      <c r="G76" s="13">
        <v>11</v>
      </c>
      <c r="H76" s="13">
        <v>1</v>
      </c>
      <c r="I76" s="13">
        <v>3</v>
      </c>
      <c r="J76" s="15"/>
    </row>
    <row r="77" spans="1:15" x14ac:dyDescent="0.35">
      <c r="A77" s="74"/>
      <c r="B77" s="74"/>
      <c r="C77" s="74"/>
      <c r="D77" s="16" t="s">
        <v>46</v>
      </c>
      <c r="E77" s="17" t="s">
        <v>6</v>
      </c>
      <c r="F77" s="13">
        <v>182</v>
      </c>
      <c r="G77" s="13">
        <v>30</v>
      </c>
      <c r="H77" s="13">
        <v>6</v>
      </c>
      <c r="I77" s="13">
        <v>5</v>
      </c>
      <c r="J77" s="15"/>
    </row>
    <row r="78" spans="1:15" x14ac:dyDescent="0.35">
      <c r="A78" s="74"/>
      <c r="B78" s="74"/>
      <c r="C78" s="74"/>
      <c r="D78" s="16" t="s">
        <v>46</v>
      </c>
      <c r="E78" s="17" t="s">
        <v>7</v>
      </c>
      <c r="F78" s="13">
        <v>202</v>
      </c>
      <c r="G78" s="13">
        <v>33</v>
      </c>
      <c r="H78" s="13">
        <v>1</v>
      </c>
      <c r="I78" s="13">
        <v>10</v>
      </c>
      <c r="J78" s="15"/>
    </row>
    <row r="79" spans="1:15" x14ac:dyDescent="0.35">
      <c r="A79" s="74"/>
      <c r="B79" s="74"/>
      <c r="C79" s="74"/>
      <c r="D79" s="16" t="s">
        <v>46</v>
      </c>
      <c r="E79" s="17" t="s">
        <v>8</v>
      </c>
      <c r="F79" s="13">
        <v>134</v>
      </c>
      <c r="G79" s="13">
        <v>107</v>
      </c>
      <c r="H79" s="13">
        <v>11</v>
      </c>
      <c r="I79" s="13">
        <v>8</v>
      </c>
      <c r="J79" s="15"/>
    </row>
    <row r="80" spans="1:15" x14ac:dyDescent="0.35">
      <c r="A80" s="74"/>
      <c r="B80" s="74"/>
      <c r="C80" s="74"/>
      <c r="D80" s="16" t="s">
        <v>46</v>
      </c>
      <c r="E80" s="17" t="s">
        <v>12</v>
      </c>
      <c r="F80" s="13">
        <v>187</v>
      </c>
      <c r="G80" s="13">
        <v>51</v>
      </c>
      <c r="H80" s="13">
        <v>3</v>
      </c>
      <c r="I80" s="13">
        <v>9</v>
      </c>
      <c r="J80" s="13">
        <v>1</v>
      </c>
    </row>
    <row r="81" spans="1:15" x14ac:dyDescent="0.35">
      <c r="A81" s="74"/>
      <c r="B81" s="74"/>
      <c r="C81" s="74"/>
      <c r="D81" s="16" t="s">
        <v>46</v>
      </c>
      <c r="E81" s="17" t="s">
        <v>13</v>
      </c>
      <c r="F81" s="13">
        <v>121</v>
      </c>
      <c r="G81" s="13">
        <v>16</v>
      </c>
      <c r="H81" s="15"/>
      <c r="I81" s="13">
        <v>2</v>
      </c>
      <c r="J81" s="15"/>
      <c r="K81" s="214">
        <f>SUM(F72:F81)</f>
        <v>1356</v>
      </c>
      <c r="L81" s="214">
        <f t="shared" ref="L81:O81" si="9">SUM(G72:G81)</f>
        <v>349</v>
      </c>
      <c r="M81" s="214">
        <f t="shared" si="9"/>
        <v>37</v>
      </c>
      <c r="N81" s="214">
        <f t="shared" si="9"/>
        <v>56</v>
      </c>
      <c r="O81" s="214">
        <f t="shared" si="9"/>
        <v>2</v>
      </c>
    </row>
    <row r="82" spans="1:15" x14ac:dyDescent="0.35">
      <c r="A82" s="3" t="s">
        <v>455</v>
      </c>
      <c r="B82" s="3" t="s">
        <v>456</v>
      </c>
      <c r="C82" s="3">
        <v>2169</v>
      </c>
      <c r="D82" s="16" t="s">
        <v>47</v>
      </c>
      <c r="E82" s="17" t="s">
        <v>17</v>
      </c>
      <c r="F82" s="12">
        <v>210</v>
      </c>
      <c r="G82" s="12">
        <v>76</v>
      </c>
      <c r="H82" s="12">
        <v>23</v>
      </c>
      <c r="I82" s="12">
        <v>18</v>
      </c>
      <c r="J82" s="14"/>
    </row>
    <row r="83" spans="1:15" x14ac:dyDescent="0.35">
      <c r="A83" s="80"/>
      <c r="B83" s="80"/>
      <c r="C83" s="80"/>
      <c r="D83" s="16" t="s">
        <v>47</v>
      </c>
      <c r="E83" s="17" t="s">
        <v>2</v>
      </c>
      <c r="F83" s="12">
        <v>143</v>
      </c>
      <c r="G83" s="12">
        <v>49</v>
      </c>
      <c r="H83" s="12">
        <v>6</v>
      </c>
      <c r="I83" s="12">
        <v>6</v>
      </c>
      <c r="J83" s="14"/>
    </row>
    <row r="84" spans="1:15" x14ac:dyDescent="0.35">
      <c r="A84" s="80"/>
      <c r="B84" s="80"/>
      <c r="C84" s="80"/>
      <c r="D84" s="16" t="s">
        <v>47</v>
      </c>
      <c r="E84" s="17" t="s">
        <v>3</v>
      </c>
      <c r="F84" s="12">
        <v>133</v>
      </c>
      <c r="G84" s="12">
        <v>15</v>
      </c>
      <c r="H84" s="12">
        <v>2</v>
      </c>
      <c r="I84" s="12">
        <v>3</v>
      </c>
      <c r="J84" s="14"/>
    </row>
    <row r="85" spans="1:15" x14ac:dyDescent="0.35">
      <c r="A85" s="80"/>
      <c r="B85" s="80"/>
      <c r="C85" s="80"/>
      <c r="D85" s="16" t="s">
        <v>47</v>
      </c>
      <c r="E85" s="17" t="s">
        <v>4</v>
      </c>
      <c r="F85" s="12">
        <v>79</v>
      </c>
      <c r="G85" s="12">
        <v>14</v>
      </c>
      <c r="H85" s="12">
        <v>1</v>
      </c>
      <c r="I85" s="12">
        <v>6</v>
      </c>
      <c r="J85" s="14"/>
    </row>
    <row r="86" spans="1:15" x14ac:dyDescent="0.35">
      <c r="A86" s="80"/>
      <c r="B86" s="80"/>
      <c r="C86" s="80"/>
      <c r="D86" s="16" t="s">
        <v>47</v>
      </c>
      <c r="E86" s="17" t="s">
        <v>5</v>
      </c>
      <c r="F86" s="12">
        <v>68</v>
      </c>
      <c r="G86" s="12">
        <v>41</v>
      </c>
      <c r="H86" s="12">
        <v>7</v>
      </c>
      <c r="I86" s="12">
        <v>3</v>
      </c>
      <c r="J86" s="12">
        <v>1</v>
      </c>
    </row>
    <row r="87" spans="1:15" x14ac:dyDescent="0.35">
      <c r="A87" s="80"/>
      <c r="B87" s="80"/>
      <c r="C87" s="80"/>
      <c r="D87" s="16" t="s">
        <v>47</v>
      </c>
      <c r="E87" s="17" t="s">
        <v>6</v>
      </c>
      <c r="F87" s="12">
        <v>215</v>
      </c>
      <c r="G87" s="12">
        <v>43</v>
      </c>
      <c r="H87" s="12">
        <v>1</v>
      </c>
      <c r="I87" s="12">
        <v>8</v>
      </c>
      <c r="J87" s="12">
        <v>1</v>
      </c>
    </row>
    <row r="88" spans="1:15" x14ac:dyDescent="0.35">
      <c r="A88" s="80"/>
      <c r="B88" s="80"/>
      <c r="C88" s="80"/>
      <c r="D88" s="16" t="s">
        <v>47</v>
      </c>
      <c r="E88" s="17" t="s">
        <v>7</v>
      </c>
      <c r="F88" s="12">
        <v>106</v>
      </c>
      <c r="G88" s="12">
        <v>16</v>
      </c>
      <c r="H88" s="12">
        <v>2</v>
      </c>
      <c r="I88" s="12">
        <v>1</v>
      </c>
      <c r="J88" s="14"/>
    </row>
    <row r="89" spans="1:15" x14ac:dyDescent="0.35">
      <c r="A89" s="80"/>
      <c r="B89" s="80"/>
      <c r="C89" s="80"/>
      <c r="D89" s="16" t="s">
        <v>47</v>
      </c>
      <c r="E89" s="17" t="s">
        <v>8</v>
      </c>
      <c r="F89" s="12">
        <v>47</v>
      </c>
      <c r="G89" s="12">
        <v>9</v>
      </c>
      <c r="H89" s="12">
        <v>4</v>
      </c>
      <c r="I89" s="12">
        <v>1</v>
      </c>
      <c r="J89" s="14"/>
    </row>
    <row r="90" spans="1:15" x14ac:dyDescent="0.35">
      <c r="A90" s="80"/>
      <c r="B90" s="80"/>
      <c r="C90" s="80"/>
      <c r="D90" s="16" t="s">
        <v>47</v>
      </c>
      <c r="E90" s="17" t="s">
        <v>9</v>
      </c>
      <c r="F90" s="12">
        <v>42</v>
      </c>
      <c r="G90" s="12">
        <v>7</v>
      </c>
      <c r="H90" s="12">
        <v>4</v>
      </c>
      <c r="I90" s="12">
        <v>1</v>
      </c>
      <c r="J90" s="12">
        <v>1</v>
      </c>
      <c r="K90" s="214">
        <f>SUM(F82:F90)</f>
        <v>1043</v>
      </c>
      <c r="L90" s="214">
        <f t="shared" ref="L90:O90" si="10">SUM(G82:G90)</f>
        <v>270</v>
      </c>
      <c r="M90" s="214">
        <f t="shared" si="10"/>
        <v>50</v>
      </c>
      <c r="N90" s="214">
        <f t="shared" si="10"/>
        <v>47</v>
      </c>
      <c r="O90" s="214">
        <f t="shared" si="10"/>
        <v>3</v>
      </c>
    </row>
    <row r="91" spans="1:15" x14ac:dyDescent="0.35">
      <c r="A91" s="81"/>
      <c r="B91" s="83" t="s">
        <v>723</v>
      </c>
      <c r="C91" s="83">
        <f>SUM(C5:C82)</f>
        <v>28349</v>
      </c>
      <c r="D91" s="303" t="s">
        <v>231</v>
      </c>
      <c r="E91" s="303"/>
      <c r="F91" s="20">
        <f>SUM(F5:F90)</f>
        <v>13797</v>
      </c>
      <c r="G91" s="20">
        <f>SUM(G5:G90)</f>
        <v>3345</v>
      </c>
      <c r="H91" s="20">
        <f>SUM(H5:H90)</f>
        <v>633</v>
      </c>
      <c r="I91" s="20">
        <f>SUM(I5:I90)</f>
        <v>576</v>
      </c>
      <c r="J91" s="20">
        <f>SUM(J5:J90)</f>
        <v>24</v>
      </c>
    </row>
    <row r="92" spans="1:15" x14ac:dyDescent="0.35">
      <c r="B92" s="18" t="s">
        <v>724</v>
      </c>
      <c r="C92" s="82">
        <f>SUM(C91,F91,G91,H91,I91,J91)</f>
        <v>46724</v>
      </c>
    </row>
  </sheetData>
  <mergeCells count="6">
    <mergeCell ref="D91:E91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90" zoomScaleNormal="90" workbookViewId="0">
      <selection activeCell="P15" sqref="P15"/>
    </sheetView>
  </sheetViews>
  <sheetFormatPr defaultRowHeight="23.25" x14ac:dyDescent="0.35"/>
  <cols>
    <col min="1" max="1" width="18.42578125" style="257" customWidth="1"/>
    <col min="2" max="2" width="21.85546875" style="257" customWidth="1"/>
    <col min="3" max="4" width="17.5703125" style="257" customWidth="1"/>
    <col min="5" max="5" width="16.7109375" style="259" customWidth="1"/>
    <col min="6" max="6" width="14.7109375" style="257" customWidth="1"/>
    <col min="7" max="7" width="21.42578125" style="260" customWidth="1"/>
    <col min="8" max="8" width="9.140625" style="257"/>
    <col min="9" max="9" width="15.28515625" style="257" hidden="1" customWidth="1"/>
    <col min="10" max="10" width="14.7109375" style="257" hidden="1" customWidth="1"/>
    <col min="11" max="11" width="9.28515625" style="257" hidden="1" customWidth="1"/>
    <col min="12" max="13" width="0" style="257" hidden="1" customWidth="1"/>
    <col min="14" max="14" width="10" style="257" hidden="1" customWidth="1"/>
    <col min="15" max="15" width="9.140625" style="257"/>
    <col min="16" max="17" width="10.28515625" style="257" bestFit="1" customWidth="1"/>
    <col min="18" max="16384" width="9.140625" style="257"/>
  </cols>
  <sheetData>
    <row r="1" spans="1:18" x14ac:dyDescent="0.35">
      <c r="A1" s="256" t="s">
        <v>814</v>
      </c>
      <c r="C1" s="258" t="s">
        <v>818</v>
      </c>
      <c r="D1" s="277">
        <f ca="1">NOW()</f>
        <v>44123.433457638886</v>
      </c>
    </row>
    <row r="3" spans="1:18" s="273" customFormat="1" x14ac:dyDescent="0.35">
      <c r="A3" s="271" t="s">
        <v>816</v>
      </c>
      <c r="B3" s="288" t="s">
        <v>716</v>
      </c>
      <c r="C3" s="289" t="s">
        <v>805</v>
      </c>
      <c r="D3" s="290" t="s">
        <v>817</v>
      </c>
      <c r="E3" s="291" t="s">
        <v>806</v>
      </c>
      <c r="F3" s="292" t="s">
        <v>807</v>
      </c>
      <c r="G3" s="272" t="s">
        <v>815</v>
      </c>
    </row>
    <row r="4" spans="1:18" x14ac:dyDescent="0.35">
      <c r="A4" s="261" t="s">
        <v>769</v>
      </c>
      <c r="B4" s="279">
        <v>10660</v>
      </c>
      <c r="C4" s="280">
        <v>5820000</v>
      </c>
      <c r="D4" s="280">
        <v>5910000</v>
      </c>
      <c r="E4" s="294">
        <v>101.64421997755333</v>
      </c>
      <c r="F4" s="281">
        <v>18</v>
      </c>
      <c r="G4" s="262">
        <v>43973</v>
      </c>
      <c r="I4" s="263">
        <v>5820000</v>
      </c>
      <c r="J4" s="263">
        <v>5910000</v>
      </c>
      <c r="K4" s="263">
        <v>101.73961840628509</v>
      </c>
      <c r="L4" s="264">
        <f>+J4*100/I4</f>
        <v>101.54639175257732</v>
      </c>
    </row>
    <row r="5" spans="1:18" x14ac:dyDescent="0.35">
      <c r="A5" s="261" t="s">
        <v>171</v>
      </c>
      <c r="B5" s="279">
        <v>10688</v>
      </c>
      <c r="C5" s="280">
        <v>4770000</v>
      </c>
      <c r="D5" s="280">
        <v>4770000</v>
      </c>
      <c r="E5" s="294">
        <v>99.771721212121207</v>
      </c>
      <c r="F5" s="281">
        <v>15</v>
      </c>
      <c r="G5" s="262">
        <v>43936</v>
      </c>
      <c r="I5" s="263">
        <v>4740000</v>
      </c>
      <c r="J5" s="263"/>
      <c r="K5" s="263"/>
      <c r="L5" s="264">
        <f t="shared" ref="L5:L20" si="0">+J5*100/I5</f>
        <v>0</v>
      </c>
    </row>
    <row r="6" spans="1:18" x14ac:dyDescent="0.35">
      <c r="A6" s="261" t="s">
        <v>37</v>
      </c>
      <c r="B6" s="279">
        <v>10768</v>
      </c>
      <c r="C6" s="280">
        <v>3720000</v>
      </c>
      <c r="D6" s="280">
        <v>3292000</v>
      </c>
      <c r="E6" s="294">
        <v>88.714646464646478</v>
      </c>
      <c r="F6" s="281">
        <v>12</v>
      </c>
      <c r="G6" s="262">
        <v>44120</v>
      </c>
      <c r="I6" s="263">
        <v>3750000</v>
      </c>
      <c r="J6" s="263">
        <v>4000000</v>
      </c>
      <c r="K6" s="263">
        <v>106.31313131313134</v>
      </c>
      <c r="L6" s="264">
        <f t="shared" si="0"/>
        <v>106.66666666666667</v>
      </c>
    </row>
    <row r="7" spans="1:18" x14ac:dyDescent="0.35">
      <c r="A7" s="261" t="s">
        <v>48</v>
      </c>
      <c r="B7" s="279">
        <v>10769</v>
      </c>
      <c r="C7" s="280">
        <v>3720000</v>
      </c>
      <c r="D7" s="280">
        <v>3720000</v>
      </c>
      <c r="E7" s="294">
        <v>100.00000000000001</v>
      </c>
      <c r="F7" s="281">
        <v>12</v>
      </c>
      <c r="G7" s="262">
        <v>44007</v>
      </c>
      <c r="I7" s="263">
        <v>3720000</v>
      </c>
      <c r="J7" s="263"/>
      <c r="K7" s="263"/>
      <c r="L7" s="264">
        <f t="shared" si="0"/>
        <v>0</v>
      </c>
    </row>
    <row r="8" spans="1:18" x14ac:dyDescent="0.35">
      <c r="A8" s="261" t="s">
        <v>60</v>
      </c>
      <c r="B8" s="279">
        <v>10770</v>
      </c>
      <c r="C8" s="280">
        <v>6990000</v>
      </c>
      <c r="D8" s="280">
        <v>3284994.5999999996</v>
      </c>
      <c r="E8" s="294">
        <v>47.178258498023709</v>
      </c>
      <c r="F8" s="281">
        <v>23</v>
      </c>
      <c r="G8" s="262">
        <v>43951</v>
      </c>
      <c r="I8" s="263">
        <v>6990000</v>
      </c>
      <c r="J8" s="263"/>
      <c r="K8" s="263"/>
      <c r="L8" s="264">
        <f t="shared" si="0"/>
        <v>0</v>
      </c>
    </row>
    <row r="9" spans="1:18" x14ac:dyDescent="0.35">
      <c r="A9" s="261" t="s">
        <v>82</v>
      </c>
      <c r="B9" s="279">
        <v>10771</v>
      </c>
      <c r="C9" s="280">
        <v>4590000</v>
      </c>
      <c r="D9" s="280">
        <v>3080000</v>
      </c>
      <c r="E9" s="294">
        <v>66.961616161616149</v>
      </c>
      <c r="F9" s="281">
        <v>15</v>
      </c>
      <c r="G9" s="262">
        <v>44042</v>
      </c>
      <c r="I9" s="263">
        <v>4590000</v>
      </c>
      <c r="J9" s="263">
        <v>2295000</v>
      </c>
      <c r="K9" s="263">
        <v>49.836363636363636</v>
      </c>
      <c r="L9" s="264">
        <f t="shared" si="0"/>
        <v>50</v>
      </c>
    </row>
    <row r="10" spans="1:18" x14ac:dyDescent="0.35">
      <c r="A10" s="261" t="s">
        <v>760</v>
      </c>
      <c r="B10" s="279">
        <v>10772</v>
      </c>
      <c r="C10" s="280">
        <v>6210000</v>
      </c>
      <c r="D10" s="280">
        <v>6270000</v>
      </c>
      <c r="E10" s="294">
        <v>98.386363636363654</v>
      </c>
      <c r="F10" s="281">
        <v>20</v>
      </c>
      <c r="G10" s="262">
        <v>43983</v>
      </c>
      <c r="I10" s="263">
        <v>6240000</v>
      </c>
      <c r="J10" s="263">
        <v>3500000</v>
      </c>
      <c r="K10" s="263">
        <v>53.63636363636364</v>
      </c>
      <c r="L10" s="264">
        <f t="shared" si="0"/>
        <v>56.089743589743591</v>
      </c>
      <c r="P10" s="257">
        <v>6210000</v>
      </c>
      <c r="Q10" s="257">
        <v>6270000</v>
      </c>
      <c r="R10" s="257">
        <f>+Q10*100/P10</f>
        <v>100.96618357487922</v>
      </c>
    </row>
    <row r="11" spans="1:18" x14ac:dyDescent="0.35">
      <c r="A11" s="261" t="s">
        <v>115</v>
      </c>
      <c r="B11" s="279">
        <v>10773</v>
      </c>
      <c r="C11" s="280">
        <v>4890000</v>
      </c>
      <c r="D11" s="280">
        <v>1345152</v>
      </c>
      <c r="E11" s="294">
        <v>27.83460606060606</v>
      </c>
      <c r="F11" s="281">
        <v>16</v>
      </c>
      <c r="G11" s="262">
        <v>43992</v>
      </c>
      <c r="I11" s="263">
        <v>4860000</v>
      </c>
      <c r="J11" s="263"/>
      <c r="K11" s="263"/>
      <c r="L11" s="264">
        <f t="shared" si="0"/>
        <v>0</v>
      </c>
    </row>
    <row r="12" spans="1:18" x14ac:dyDescent="0.35">
      <c r="A12" s="261" t="s">
        <v>131</v>
      </c>
      <c r="B12" s="279">
        <v>10774</v>
      </c>
      <c r="C12" s="280">
        <v>4590000</v>
      </c>
      <c r="D12" s="280">
        <v>4590000</v>
      </c>
      <c r="E12" s="294">
        <v>99.797979797979806</v>
      </c>
      <c r="F12" s="281">
        <v>15</v>
      </c>
      <c r="G12" s="262">
        <v>44092</v>
      </c>
      <c r="I12" s="263">
        <v>4560000</v>
      </c>
      <c r="J12" s="263">
        <v>3080000</v>
      </c>
      <c r="K12" s="263">
        <v>67.555555555555571</v>
      </c>
      <c r="L12" s="264">
        <f t="shared" si="0"/>
        <v>67.543859649122808</v>
      </c>
    </row>
    <row r="13" spans="1:18" x14ac:dyDescent="0.35">
      <c r="A13" s="261" t="s">
        <v>146</v>
      </c>
      <c r="B13" s="279">
        <v>10775</v>
      </c>
      <c r="C13" s="280">
        <v>2250000</v>
      </c>
      <c r="D13" s="280">
        <v>2220000</v>
      </c>
      <c r="E13" s="294">
        <v>98.722943722943725</v>
      </c>
      <c r="F13" s="281">
        <v>7</v>
      </c>
      <c r="G13" s="262">
        <v>44042</v>
      </c>
      <c r="I13" s="263">
        <v>2250000</v>
      </c>
      <c r="J13" s="263">
        <v>2113000</v>
      </c>
      <c r="K13" s="263">
        <v>93.80952380952381</v>
      </c>
      <c r="L13" s="264">
        <f t="shared" si="0"/>
        <v>93.911111111111111</v>
      </c>
    </row>
    <row r="14" spans="1:18" s="266" customFormat="1" x14ac:dyDescent="0.35">
      <c r="A14" s="265" t="s">
        <v>154</v>
      </c>
      <c r="B14" s="282">
        <v>10776</v>
      </c>
      <c r="C14" s="283">
        <v>2610000</v>
      </c>
      <c r="D14" s="283">
        <v>2610000</v>
      </c>
      <c r="E14" s="295">
        <v>100</v>
      </c>
      <c r="F14" s="284">
        <v>8</v>
      </c>
      <c r="G14" s="262">
        <v>43951</v>
      </c>
      <c r="I14" s="267">
        <v>2550000</v>
      </c>
      <c r="J14" s="267">
        <v>1305000</v>
      </c>
      <c r="K14" s="267">
        <v>51.337121212121211</v>
      </c>
      <c r="L14" s="268">
        <f t="shared" si="0"/>
        <v>51.176470588235297</v>
      </c>
      <c r="N14" s="268">
        <f>+GETPIVOTDATA("สสจ คำนวณ",$B$3,"1",10776)-I14</f>
        <v>60000</v>
      </c>
    </row>
    <row r="15" spans="1:18" x14ac:dyDescent="0.35">
      <c r="A15" s="261" t="s">
        <v>163</v>
      </c>
      <c r="B15" s="279">
        <v>10777</v>
      </c>
      <c r="C15" s="280">
        <v>3300000</v>
      </c>
      <c r="D15" s="280">
        <v>5242000</v>
      </c>
      <c r="E15" s="294">
        <v>157.76166666666668</v>
      </c>
      <c r="F15" s="281">
        <v>10</v>
      </c>
      <c r="G15" s="262">
        <v>44014</v>
      </c>
      <c r="H15" s="269"/>
      <c r="I15" s="263">
        <v>3300000</v>
      </c>
      <c r="J15" s="263">
        <v>3570000</v>
      </c>
      <c r="K15" s="263">
        <v>107.17171717171718</v>
      </c>
      <c r="L15" s="264">
        <f t="shared" si="0"/>
        <v>108.18181818181819</v>
      </c>
    </row>
    <row r="16" spans="1:18" x14ac:dyDescent="0.35">
      <c r="A16" s="261" t="s">
        <v>188</v>
      </c>
      <c r="B16" s="279">
        <v>10778</v>
      </c>
      <c r="C16" s="280">
        <v>1830000</v>
      </c>
      <c r="D16" s="280">
        <v>1418971.1</v>
      </c>
      <c r="E16" s="294">
        <v>77.515806414141409</v>
      </c>
      <c r="F16" s="281">
        <v>6</v>
      </c>
      <c r="G16" s="262">
        <v>44027</v>
      </c>
      <c r="I16" s="263">
        <v>1860000</v>
      </c>
      <c r="J16" s="263">
        <v>930000</v>
      </c>
      <c r="K16" s="263">
        <v>50.075757575757571</v>
      </c>
      <c r="L16" s="264">
        <f t="shared" si="0"/>
        <v>50</v>
      </c>
    </row>
    <row r="17" spans="1:12" x14ac:dyDescent="0.35">
      <c r="A17" s="261" t="s">
        <v>199</v>
      </c>
      <c r="B17" s="279">
        <v>10779</v>
      </c>
      <c r="C17" s="280">
        <v>3780000</v>
      </c>
      <c r="D17" s="280">
        <v>3675000</v>
      </c>
      <c r="E17" s="294">
        <v>97.570202020202018</v>
      </c>
      <c r="F17" s="281">
        <v>12</v>
      </c>
      <c r="G17" s="262">
        <v>44090</v>
      </c>
      <c r="I17" s="263">
        <v>3780000</v>
      </c>
      <c r="J17" s="263"/>
      <c r="K17" s="263"/>
      <c r="L17" s="264">
        <f t="shared" si="0"/>
        <v>0</v>
      </c>
    </row>
    <row r="18" spans="1:12" x14ac:dyDescent="0.35">
      <c r="A18" s="261" t="s">
        <v>206</v>
      </c>
      <c r="B18" s="279">
        <v>10780</v>
      </c>
      <c r="C18" s="280">
        <v>3630000</v>
      </c>
      <c r="D18" s="280">
        <v>3015000</v>
      </c>
      <c r="E18" s="294">
        <v>83.080808080808069</v>
      </c>
      <c r="F18" s="281">
        <v>12</v>
      </c>
      <c r="G18" s="262">
        <v>44103</v>
      </c>
      <c r="I18" s="263">
        <v>3630000</v>
      </c>
      <c r="J18" s="263">
        <v>1815000</v>
      </c>
      <c r="K18" s="263">
        <v>50</v>
      </c>
      <c r="L18" s="264">
        <f t="shared" si="0"/>
        <v>50</v>
      </c>
    </row>
    <row r="19" spans="1:12" x14ac:dyDescent="0.35">
      <c r="A19" s="261" t="s">
        <v>214</v>
      </c>
      <c r="B19" s="279">
        <v>10781</v>
      </c>
      <c r="C19" s="280">
        <v>1200000</v>
      </c>
      <c r="D19" s="280">
        <v>800000</v>
      </c>
      <c r="E19" s="294">
        <v>66.666666666666671</v>
      </c>
      <c r="F19" s="281">
        <v>4</v>
      </c>
      <c r="G19" s="262">
        <v>43789</v>
      </c>
      <c r="I19" s="263">
        <v>1200000</v>
      </c>
      <c r="J19" s="263">
        <v>800000</v>
      </c>
      <c r="K19" s="263">
        <v>66.666666666666671</v>
      </c>
      <c r="L19" s="264">
        <f t="shared" si="0"/>
        <v>66.666666666666671</v>
      </c>
    </row>
    <row r="20" spans="1:12" x14ac:dyDescent="0.35">
      <c r="B20" s="285" t="s">
        <v>799</v>
      </c>
      <c r="C20" s="286">
        <v>63900000</v>
      </c>
      <c r="D20" s="286">
        <v>55243117.699999988</v>
      </c>
      <c r="E20" s="296">
        <v>85.651577019463019</v>
      </c>
      <c r="F20" s="287">
        <v>205</v>
      </c>
      <c r="I20" s="263">
        <v>63840000</v>
      </c>
      <c r="J20" s="263">
        <v>29318000</v>
      </c>
      <c r="K20" s="263">
        <v>72.810069195895991</v>
      </c>
      <c r="L20" s="264">
        <f t="shared" si="0"/>
        <v>45.92418546365915</v>
      </c>
    </row>
    <row r="26" spans="1:12" x14ac:dyDescent="0.35">
      <c r="E26" s="270"/>
    </row>
  </sheetData>
  <pageMargins left="0.34" right="0.1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C11" sqref="C11"/>
    </sheetView>
  </sheetViews>
  <sheetFormatPr defaultRowHeight="12.75" x14ac:dyDescent="0.2"/>
  <cols>
    <col min="1" max="1" width="15.5703125" customWidth="1"/>
    <col min="2" max="2" width="14.42578125" customWidth="1"/>
    <col min="3" max="3" width="3.28515625" customWidth="1"/>
    <col min="4" max="4" width="2.140625" customWidth="1"/>
    <col min="5" max="5" width="12.5703125" bestFit="1" customWidth="1"/>
  </cols>
  <sheetData>
    <row r="3" spans="1:5" x14ac:dyDescent="0.2">
      <c r="A3" s="275" t="s">
        <v>821</v>
      </c>
      <c r="B3" s="275" t="s">
        <v>822</v>
      </c>
    </row>
    <row r="4" spans="1:5" x14ac:dyDescent="0.2">
      <c r="A4" s="275" t="s">
        <v>823</v>
      </c>
      <c r="B4" t="s">
        <v>793</v>
      </c>
      <c r="C4" t="s">
        <v>794</v>
      </c>
      <c r="D4" t="s">
        <v>795</v>
      </c>
      <c r="E4" t="s">
        <v>799</v>
      </c>
    </row>
    <row r="5" spans="1:5" x14ac:dyDescent="0.2">
      <c r="A5" s="276">
        <v>10660</v>
      </c>
      <c r="B5" s="274">
        <v>5</v>
      </c>
      <c r="C5" s="274">
        <v>12</v>
      </c>
      <c r="D5" s="274">
        <v>1</v>
      </c>
      <c r="E5" s="274">
        <v>18</v>
      </c>
    </row>
    <row r="6" spans="1:5" x14ac:dyDescent="0.2">
      <c r="A6" s="276">
        <v>10688</v>
      </c>
      <c r="B6" s="274">
        <v>6</v>
      </c>
      <c r="C6" s="274">
        <v>9</v>
      </c>
      <c r="D6" s="274"/>
      <c r="E6" s="274">
        <v>15</v>
      </c>
    </row>
    <row r="7" spans="1:5" x14ac:dyDescent="0.2">
      <c r="A7" s="276">
        <v>10768</v>
      </c>
      <c r="B7" s="274">
        <v>8</v>
      </c>
      <c r="C7" s="274">
        <v>4</v>
      </c>
      <c r="D7" s="274"/>
      <c r="E7" s="274">
        <v>12</v>
      </c>
    </row>
    <row r="8" spans="1:5" x14ac:dyDescent="0.2">
      <c r="A8" s="276">
        <v>10769</v>
      </c>
      <c r="B8" s="274">
        <v>8</v>
      </c>
      <c r="C8" s="274">
        <v>4</v>
      </c>
      <c r="D8" s="274"/>
      <c r="E8" s="274">
        <v>12</v>
      </c>
    </row>
    <row r="9" spans="1:5" x14ac:dyDescent="0.2">
      <c r="A9" s="276">
        <v>10770</v>
      </c>
      <c r="B9" s="274">
        <v>20</v>
      </c>
      <c r="C9" s="274">
        <v>3</v>
      </c>
      <c r="D9" s="274"/>
      <c r="E9" s="274">
        <v>23</v>
      </c>
    </row>
    <row r="10" spans="1:5" x14ac:dyDescent="0.2">
      <c r="A10" s="276">
        <v>10771</v>
      </c>
      <c r="B10" s="274">
        <v>12</v>
      </c>
      <c r="C10" s="274">
        <v>3</v>
      </c>
      <c r="D10" s="274"/>
      <c r="E10" s="274">
        <v>15</v>
      </c>
    </row>
    <row r="11" spans="1:5" x14ac:dyDescent="0.2">
      <c r="A11" s="276">
        <v>10772</v>
      </c>
      <c r="B11" s="274">
        <v>15</v>
      </c>
      <c r="C11" s="274">
        <v>3</v>
      </c>
      <c r="D11" s="274">
        <v>2</v>
      </c>
      <c r="E11" s="274">
        <v>20</v>
      </c>
    </row>
    <row r="12" spans="1:5" x14ac:dyDescent="0.2">
      <c r="A12" s="276">
        <v>10773</v>
      </c>
      <c r="B12" s="274">
        <v>13</v>
      </c>
      <c r="C12" s="274">
        <v>3</v>
      </c>
      <c r="D12" s="274"/>
      <c r="E12" s="274">
        <v>16</v>
      </c>
    </row>
    <row r="13" spans="1:5" x14ac:dyDescent="0.2">
      <c r="A13" s="276">
        <v>10774</v>
      </c>
      <c r="B13" s="274">
        <v>12</v>
      </c>
      <c r="C13" s="274">
        <v>3</v>
      </c>
      <c r="D13" s="274"/>
      <c r="E13" s="274">
        <v>15</v>
      </c>
    </row>
    <row r="14" spans="1:5" x14ac:dyDescent="0.2">
      <c r="A14" s="276">
        <v>10775</v>
      </c>
      <c r="B14" s="274">
        <v>2</v>
      </c>
      <c r="C14" s="274">
        <v>5</v>
      </c>
      <c r="D14" s="274"/>
      <c r="E14" s="274">
        <v>7</v>
      </c>
    </row>
    <row r="15" spans="1:5" x14ac:dyDescent="0.2">
      <c r="A15" s="276">
        <v>10776</v>
      </c>
      <c r="B15" s="274">
        <v>1</v>
      </c>
      <c r="C15" s="274">
        <v>7</v>
      </c>
      <c r="D15" s="274"/>
      <c r="E15" s="274">
        <v>8</v>
      </c>
    </row>
    <row r="16" spans="1:5" x14ac:dyDescent="0.2">
      <c r="A16" s="276">
        <v>10777</v>
      </c>
      <c r="B16" s="274">
        <v>2</v>
      </c>
      <c r="C16" s="274">
        <v>6</v>
      </c>
      <c r="D16" s="274">
        <v>2</v>
      </c>
      <c r="E16" s="274">
        <v>10</v>
      </c>
    </row>
    <row r="17" spans="1:5" x14ac:dyDescent="0.2">
      <c r="A17" s="276">
        <v>10778</v>
      </c>
      <c r="B17" s="274">
        <v>5</v>
      </c>
      <c r="C17" s="274">
        <v>1</v>
      </c>
      <c r="D17" s="274"/>
      <c r="E17" s="274">
        <v>6</v>
      </c>
    </row>
    <row r="18" spans="1:5" x14ac:dyDescent="0.2">
      <c r="A18" s="276">
        <v>10779</v>
      </c>
      <c r="B18" s="274">
        <v>6</v>
      </c>
      <c r="C18" s="274">
        <v>6</v>
      </c>
      <c r="D18" s="274"/>
      <c r="E18" s="274">
        <v>12</v>
      </c>
    </row>
    <row r="19" spans="1:5" x14ac:dyDescent="0.2">
      <c r="A19" s="276">
        <v>10780</v>
      </c>
      <c r="B19" s="274">
        <v>11</v>
      </c>
      <c r="C19" s="274">
        <v>1</v>
      </c>
      <c r="D19" s="274"/>
      <c r="E19" s="274">
        <v>12</v>
      </c>
    </row>
    <row r="20" spans="1:5" x14ac:dyDescent="0.2">
      <c r="A20" s="276">
        <v>10781</v>
      </c>
      <c r="B20" s="274">
        <v>4</v>
      </c>
      <c r="C20" s="274"/>
      <c r="D20" s="274"/>
      <c r="E20" s="274">
        <v>4</v>
      </c>
    </row>
    <row r="21" spans="1:5" x14ac:dyDescent="0.2">
      <c r="A21" s="276" t="s">
        <v>799</v>
      </c>
      <c r="B21" s="274">
        <v>130</v>
      </c>
      <c r="C21" s="274">
        <v>70</v>
      </c>
      <c r="D21" s="274">
        <v>5</v>
      </c>
      <c r="E21" s="274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64" zoomScale="90" zoomScaleNormal="90" workbookViewId="0">
      <selection activeCell="K80" sqref="K80:O80"/>
    </sheetView>
  </sheetViews>
  <sheetFormatPr defaultRowHeight="21" x14ac:dyDescent="0.35"/>
  <cols>
    <col min="1" max="1" width="14.7109375" style="2" customWidth="1"/>
    <col min="2" max="2" width="37.28515625" style="2" customWidth="1"/>
    <col min="3" max="3" width="18.7109375" style="22" customWidth="1"/>
    <col min="4" max="4" width="16.42578125" style="2" customWidth="1"/>
    <col min="5" max="5" width="9.140625" style="22"/>
    <col min="6" max="6" width="14.85546875" style="22" customWidth="1"/>
    <col min="7" max="7" width="14.140625" style="22" customWidth="1"/>
    <col min="8" max="8" width="9.140625" style="22"/>
    <col min="9" max="9" width="16.85546875" style="22" customWidth="1"/>
    <col min="10" max="10" width="13.42578125" style="22" customWidth="1"/>
    <col min="11" max="16384" width="9.140625" style="2"/>
  </cols>
  <sheetData>
    <row r="1" spans="1:15" x14ac:dyDescent="0.35">
      <c r="A1" s="302" t="s">
        <v>725</v>
      </c>
      <c r="B1" s="302"/>
      <c r="C1" s="302"/>
      <c r="D1" s="298" t="s">
        <v>250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D3" s="44"/>
      <c r="E3" s="44"/>
      <c r="F3" s="303" t="s">
        <v>718</v>
      </c>
      <c r="G3" s="303"/>
      <c r="H3" s="303"/>
      <c r="I3" s="303"/>
      <c r="J3" s="303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227</v>
      </c>
      <c r="H4" s="19" t="s">
        <v>225</v>
      </c>
      <c r="I4" s="19" t="s">
        <v>226</v>
      </c>
      <c r="J4" s="19" t="s">
        <v>221</v>
      </c>
    </row>
    <row r="5" spans="1:15" x14ac:dyDescent="0.35">
      <c r="A5" s="6" t="s">
        <v>463</v>
      </c>
      <c r="B5" s="6" t="s">
        <v>464</v>
      </c>
      <c r="C5" s="88">
        <v>2622</v>
      </c>
      <c r="D5" s="16" t="s">
        <v>48</v>
      </c>
      <c r="E5" s="17" t="s">
        <v>0</v>
      </c>
      <c r="F5" s="13"/>
      <c r="G5" s="13">
        <v>1</v>
      </c>
      <c r="H5" s="13"/>
      <c r="I5" s="15"/>
      <c r="J5" s="13"/>
    </row>
    <row r="6" spans="1:15" x14ac:dyDescent="0.35">
      <c r="A6" s="6" t="s">
        <v>461</v>
      </c>
      <c r="B6" s="6" t="s">
        <v>462</v>
      </c>
      <c r="C6" s="88">
        <v>118</v>
      </c>
      <c r="D6" s="16" t="s">
        <v>48</v>
      </c>
      <c r="E6" s="17" t="s">
        <v>17</v>
      </c>
      <c r="F6" s="13">
        <v>387</v>
      </c>
      <c r="G6" s="13">
        <v>162</v>
      </c>
      <c r="H6" s="13">
        <v>18</v>
      </c>
      <c r="I6" s="13">
        <v>20</v>
      </c>
      <c r="J6" s="15"/>
    </row>
    <row r="7" spans="1:15" x14ac:dyDescent="0.35">
      <c r="A7" s="74"/>
      <c r="B7" s="74"/>
      <c r="C7" s="84"/>
      <c r="D7" s="16" t="s">
        <v>48</v>
      </c>
      <c r="E7" s="17" t="s">
        <v>2</v>
      </c>
      <c r="F7" s="13">
        <v>117</v>
      </c>
      <c r="G7" s="13">
        <v>52</v>
      </c>
      <c r="H7" s="13">
        <v>4</v>
      </c>
      <c r="I7" s="13">
        <v>1</v>
      </c>
      <c r="J7" s="15"/>
    </row>
    <row r="8" spans="1:15" x14ac:dyDescent="0.35">
      <c r="A8" s="74"/>
      <c r="B8" s="74"/>
      <c r="C8" s="84"/>
      <c r="D8" s="16" t="s">
        <v>48</v>
      </c>
      <c r="E8" s="17" t="s">
        <v>3</v>
      </c>
      <c r="F8" s="13">
        <v>63</v>
      </c>
      <c r="G8" s="13">
        <v>21</v>
      </c>
      <c r="H8" s="13">
        <v>1</v>
      </c>
      <c r="I8" s="13">
        <v>2</v>
      </c>
      <c r="J8" s="15"/>
    </row>
    <row r="9" spans="1:15" x14ac:dyDescent="0.35">
      <c r="A9" s="74"/>
      <c r="B9" s="74"/>
      <c r="C9" s="84"/>
      <c r="D9" s="16" t="s">
        <v>48</v>
      </c>
      <c r="E9" s="17" t="s">
        <v>4</v>
      </c>
      <c r="F9" s="13">
        <v>126</v>
      </c>
      <c r="G9" s="13">
        <v>37</v>
      </c>
      <c r="H9" s="13">
        <v>13</v>
      </c>
      <c r="I9" s="13">
        <v>7</v>
      </c>
      <c r="J9" s="13">
        <v>1</v>
      </c>
    </row>
    <row r="10" spans="1:15" x14ac:dyDescent="0.35">
      <c r="A10" s="74"/>
      <c r="B10" s="74"/>
      <c r="C10" s="84"/>
      <c r="D10" s="16" t="s">
        <v>48</v>
      </c>
      <c r="E10" s="17" t="s">
        <v>5</v>
      </c>
      <c r="F10" s="13">
        <v>151</v>
      </c>
      <c r="G10" s="13">
        <v>84</v>
      </c>
      <c r="H10" s="13">
        <v>12</v>
      </c>
      <c r="I10" s="13">
        <v>5</v>
      </c>
      <c r="J10" s="15"/>
    </row>
    <row r="11" spans="1:15" x14ac:dyDescent="0.35">
      <c r="A11" s="74"/>
      <c r="B11" s="74"/>
      <c r="C11" s="84"/>
      <c r="D11" s="16" t="s">
        <v>48</v>
      </c>
      <c r="E11" s="17" t="s">
        <v>6</v>
      </c>
      <c r="F11" s="13">
        <v>152</v>
      </c>
      <c r="G11" s="13">
        <v>56</v>
      </c>
      <c r="H11" s="13">
        <v>3</v>
      </c>
      <c r="I11" s="13">
        <v>9</v>
      </c>
      <c r="J11" s="15"/>
    </row>
    <row r="12" spans="1:15" x14ac:dyDescent="0.35">
      <c r="A12" s="74"/>
      <c r="B12" s="74"/>
      <c r="C12" s="84"/>
      <c r="D12" s="16" t="s">
        <v>48</v>
      </c>
      <c r="E12" s="17" t="s">
        <v>7</v>
      </c>
      <c r="F12" s="13">
        <v>149</v>
      </c>
      <c r="G12" s="13">
        <v>59</v>
      </c>
      <c r="H12" s="13">
        <v>15</v>
      </c>
      <c r="I12" s="13">
        <v>6</v>
      </c>
      <c r="J12" s="15"/>
    </row>
    <row r="13" spans="1:15" x14ac:dyDescent="0.35">
      <c r="A13" s="74"/>
      <c r="B13" s="74"/>
      <c r="C13" s="84"/>
      <c r="D13" s="16" t="s">
        <v>48</v>
      </c>
      <c r="E13" s="17" t="s">
        <v>8</v>
      </c>
      <c r="F13" s="13">
        <v>133</v>
      </c>
      <c r="G13" s="13">
        <v>54</v>
      </c>
      <c r="H13" s="13">
        <v>6</v>
      </c>
      <c r="I13" s="13">
        <v>13</v>
      </c>
      <c r="J13" s="15"/>
    </row>
    <row r="14" spans="1:15" x14ac:dyDescent="0.35">
      <c r="A14" s="74"/>
      <c r="B14" s="74"/>
      <c r="C14" s="84"/>
      <c r="D14" s="16" t="s">
        <v>48</v>
      </c>
      <c r="E14" s="17" t="s">
        <v>9</v>
      </c>
      <c r="F14" s="13">
        <v>31</v>
      </c>
      <c r="G14" s="13">
        <v>24</v>
      </c>
      <c r="H14" s="13">
        <v>3</v>
      </c>
      <c r="I14" s="13">
        <v>4</v>
      </c>
      <c r="J14" s="15"/>
    </row>
    <row r="15" spans="1:15" x14ac:dyDescent="0.35">
      <c r="A15" s="74"/>
      <c r="B15" s="74"/>
      <c r="C15" s="84"/>
      <c r="D15" s="16" t="s">
        <v>48</v>
      </c>
      <c r="E15" s="17" t="s">
        <v>15</v>
      </c>
      <c r="F15" s="13"/>
      <c r="G15" s="13">
        <v>1</v>
      </c>
      <c r="H15" s="15"/>
      <c r="I15" s="15"/>
      <c r="J15" s="15"/>
      <c r="K15" s="2">
        <f>SUM(F6:F15)</f>
        <v>1309</v>
      </c>
      <c r="L15" s="2">
        <f t="shared" ref="L15:O15" si="0">SUM(G6:G15)</f>
        <v>550</v>
      </c>
      <c r="M15" s="2">
        <f t="shared" si="0"/>
        <v>75</v>
      </c>
      <c r="N15" s="2">
        <f t="shared" si="0"/>
        <v>67</v>
      </c>
      <c r="O15" s="2">
        <f t="shared" si="0"/>
        <v>1</v>
      </c>
    </row>
    <row r="16" spans="1:15" x14ac:dyDescent="0.35">
      <c r="A16" s="3" t="s">
        <v>457</v>
      </c>
      <c r="B16" s="3" t="s">
        <v>458</v>
      </c>
      <c r="C16" s="89">
        <v>2844</v>
      </c>
      <c r="D16" s="16" t="s">
        <v>49</v>
      </c>
      <c r="E16" s="17" t="s">
        <v>17</v>
      </c>
      <c r="F16" s="12">
        <v>159</v>
      </c>
      <c r="G16" s="12">
        <v>25</v>
      </c>
      <c r="H16" s="12">
        <v>11</v>
      </c>
      <c r="I16" s="12">
        <v>7</v>
      </c>
      <c r="J16" s="14"/>
    </row>
    <row r="17" spans="1:15" x14ac:dyDescent="0.35">
      <c r="A17" s="80"/>
      <c r="B17" s="80"/>
      <c r="C17" s="85"/>
      <c r="D17" s="16" t="s">
        <v>49</v>
      </c>
      <c r="E17" s="17" t="s">
        <v>2</v>
      </c>
      <c r="F17" s="12">
        <v>130</v>
      </c>
      <c r="G17" s="12">
        <v>31</v>
      </c>
      <c r="H17" s="12">
        <v>19</v>
      </c>
      <c r="I17" s="12">
        <v>5</v>
      </c>
      <c r="J17" s="12">
        <v>1</v>
      </c>
    </row>
    <row r="18" spans="1:15" x14ac:dyDescent="0.35">
      <c r="A18" s="80"/>
      <c r="B18" s="80"/>
      <c r="C18" s="85"/>
      <c r="D18" s="16" t="s">
        <v>49</v>
      </c>
      <c r="E18" s="17" t="s">
        <v>3</v>
      </c>
      <c r="F18" s="12">
        <v>139</v>
      </c>
      <c r="G18" s="12">
        <v>32</v>
      </c>
      <c r="H18" s="12">
        <v>9</v>
      </c>
      <c r="I18" s="12">
        <v>12</v>
      </c>
      <c r="J18" s="14"/>
    </row>
    <row r="19" spans="1:15" x14ac:dyDescent="0.35">
      <c r="A19" s="80"/>
      <c r="B19" s="80"/>
      <c r="C19" s="85"/>
      <c r="D19" s="16" t="s">
        <v>49</v>
      </c>
      <c r="E19" s="17" t="s">
        <v>4</v>
      </c>
      <c r="F19" s="12">
        <v>85</v>
      </c>
      <c r="G19" s="12">
        <v>33</v>
      </c>
      <c r="H19" s="12">
        <v>3</v>
      </c>
      <c r="I19" s="12">
        <v>3</v>
      </c>
      <c r="J19" s="14"/>
    </row>
    <row r="20" spans="1:15" x14ac:dyDescent="0.35">
      <c r="A20" s="80"/>
      <c r="B20" s="80"/>
      <c r="C20" s="85"/>
      <c r="D20" s="16" t="s">
        <v>49</v>
      </c>
      <c r="E20" s="17" t="s">
        <v>5</v>
      </c>
      <c r="F20" s="12">
        <v>187</v>
      </c>
      <c r="G20" s="12">
        <v>37</v>
      </c>
      <c r="H20" s="12">
        <v>11</v>
      </c>
      <c r="I20" s="12">
        <v>6</v>
      </c>
      <c r="J20" s="12">
        <v>1</v>
      </c>
    </row>
    <row r="21" spans="1:15" x14ac:dyDescent="0.35">
      <c r="A21" s="80"/>
      <c r="B21" s="80"/>
      <c r="C21" s="85"/>
      <c r="D21" s="16" t="s">
        <v>49</v>
      </c>
      <c r="E21" s="17" t="s">
        <v>6</v>
      </c>
      <c r="F21" s="12">
        <v>169</v>
      </c>
      <c r="G21" s="12">
        <v>47</v>
      </c>
      <c r="H21" s="12">
        <v>1</v>
      </c>
      <c r="I21" s="12">
        <v>4</v>
      </c>
      <c r="J21" s="14"/>
    </row>
    <row r="22" spans="1:15" x14ac:dyDescent="0.35">
      <c r="A22" s="80"/>
      <c r="B22" s="80"/>
      <c r="C22" s="85"/>
      <c r="D22" s="16" t="s">
        <v>49</v>
      </c>
      <c r="E22" s="17" t="s">
        <v>7</v>
      </c>
      <c r="F22" s="12">
        <v>167</v>
      </c>
      <c r="G22" s="12">
        <v>84</v>
      </c>
      <c r="H22" s="12">
        <v>4</v>
      </c>
      <c r="I22" s="12">
        <v>13</v>
      </c>
      <c r="J22" s="14"/>
    </row>
    <row r="23" spans="1:15" x14ac:dyDescent="0.35">
      <c r="A23" s="80"/>
      <c r="B23" s="80"/>
      <c r="C23" s="85"/>
      <c r="D23" s="16" t="s">
        <v>49</v>
      </c>
      <c r="E23" s="17" t="s">
        <v>8</v>
      </c>
      <c r="F23" s="12">
        <v>81</v>
      </c>
      <c r="G23" s="12">
        <v>10</v>
      </c>
      <c r="H23" s="12">
        <v>11</v>
      </c>
      <c r="I23" s="12">
        <v>4</v>
      </c>
      <c r="J23" s="14"/>
      <c r="K23" s="2">
        <f>SUM(F16:F23)</f>
        <v>1117</v>
      </c>
      <c r="L23" s="2">
        <f t="shared" ref="L23:O23" si="1">SUM(G16:G23)</f>
        <v>299</v>
      </c>
      <c r="M23" s="2">
        <f t="shared" si="1"/>
        <v>69</v>
      </c>
      <c r="N23" s="2">
        <f t="shared" si="1"/>
        <v>54</v>
      </c>
      <c r="O23" s="2">
        <f t="shared" si="1"/>
        <v>2</v>
      </c>
    </row>
    <row r="24" spans="1:15" x14ac:dyDescent="0.35">
      <c r="A24" s="6" t="s">
        <v>465</v>
      </c>
      <c r="B24" s="6" t="s">
        <v>466</v>
      </c>
      <c r="C24" s="88">
        <v>3810</v>
      </c>
      <c r="D24" s="16" t="s">
        <v>50</v>
      </c>
      <c r="E24" s="17" t="s">
        <v>17</v>
      </c>
      <c r="F24" s="13">
        <v>165</v>
      </c>
      <c r="G24" s="13">
        <v>85</v>
      </c>
      <c r="H24" s="13">
        <v>7</v>
      </c>
      <c r="I24" s="13">
        <v>9</v>
      </c>
      <c r="J24" s="15"/>
    </row>
    <row r="25" spans="1:15" x14ac:dyDescent="0.35">
      <c r="A25" s="74"/>
      <c r="B25" s="74"/>
      <c r="C25" s="84"/>
      <c r="D25" s="16" t="s">
        <v>50</v>
      </c>
      <c r="E25" s="17" t="s">
        <v>2</v>
      </c>
      <c r="F25" s="13">
        <v>418</v>
      </c>
      <c r="G25" s="13">
        <v>177</v>
      </c>
      <c r="H25" s="13">
        <v>10</v>
      </c>
      <c r="I25" s="13">
        <v>22</v>
      </c>
      <c r="J25" s="13">
        <v>1</v>
      </c>
    </row>
    <row r="26" spans="1:15" x14ac:dyDescent="0.35">
      <c r="A26" s="74"/>
      <c r="B26" s="74"/>
      <c r="C26" s="84"/>
      <c r="D26" s="16" t="s">
        <v>50</v>
      </c>
      <c r="E26" s="17" t="s">
        <v>3</v>
      </c>
      <c r="F26" s="13">
        <v>83</v>
      </c>
      <c r="G26" s="13">
        <v>61</v>
      </c>
      <c r="H26" s="13">
        <v>3</v>
      </c>
      <c r="I26" s="13">
        <v>6</v>
      </c>
      <c r="J26" s="15"/>
    </row>
    <row r="27" spans="1:15" x14ac:dyDescent="0.35">
      <c r="A27" s="74"/>
      <c r="B27" s="74"/>
      <c r="C27" s="84"/>
      <c r="D27" s="16" t="s">
        <v>50</v>
      </c>
      <c r="E27" s="17" t="s">
        <v>4</v>
      </c>
      <c r="F27" s="13">
        <v>131</v>
      </c>
      <c r="G27" s="13">
        <v>38</v>
      </c>
      <c r="H27" s="15"/>
      <c r="I27" s="13">
        <v>6</v>
      </c>
      <c r="J27" s="15"/>
    </row>
    <row r="28" spans="1:15" x14ac:dyDescent="0.35">
      <c r="A28" s="74"/>
      <c r="B28" s="74"/>
      <c r="C28" s="84"/>
      <c r="D28" s="16" t="s">
        <v>50</v>
      </c>
      <c r="E28" s="17" t="s">
        <v>5</v>
      </c>
      <c r="F28" s="13">
        <v>116</v>
      </c>
      <c r="G28" s="13">
        <v>23</v>
      </c>
      <c r="H28" s="13">
        <v>3</v>
      </c>
      <c r="I28" s="13">
        <v>3</v>
      </c>
      <c r="J28" s="15"/>
    </row>
    <row r="29" spans="1:15" x14ac:dyDescent="0.35">
      <c r="A29" s="74"/>
      <c r="B29" s="74"/>
      <c r="C29" s="84"/>
      <c r="D29" s="16" t="s">
        <v>50</v>
      </c>
      <c r="E29" s="17" t="s">
        <v>6</v>
      </c>
      <c r="F29" s="13">
        <v>204</v>
      </c>
      <c r="G29" s="13">
        <v>33</v>
      </c>
      <c r="H29" s="15"/>
      <c r="I29" s="13">
        <v>5</v>
      </c>
      <c r="J29" s="13">
        <v>1</v>
      </c>
    </row>
    <row r="30" spans="1:15" x14ac:dyDescent="0.35">
      <c r="A30" s="74"/>
      <c r="B30" s="74"/>
      <c r="C30" s="84"/>
      <c r="D30" s="16" t="s">
        <v>50</v>
      </c>
      <c r="E30" s="17" t="s">
        <v>7</v>
      </c>
      <c r="F30" s="13">
        <v>181</v>
      </c>
      <c r="G30" s="13">
        <v>43</v>
      </c>
      <c r="H30" s="13">
        <v>5</v>
      </c>
      <c r="I30" s="13">
        <v>5</v>
      </c>
      <c r="J30" s="15"/>
      <c r="K30" s="2">
        <f>SUM(F24:F30)</f>
        <v>1298</v>
      </c>
      <c r="L30" s="2">
        <f t="shared" ref="L30:O30" si="2">SUM(G24:G30)</f>
        <v>460</v>
      </c>
      <c r="M30" s="2">
        <f t="shared" si="2"/>
        <v>28</v>
      </c>
      <c r="N30" s="2">
        <f t="shared" si="2"/>
        <v>56</v>
      </c>
      <c r="O30" s="2">
        <f t="shared" si="2"/>
        <v>2</v>
      </c>
    </row>
    <row r="31" spans="1:15" x14ac:dyDescent="0.35">
      <c r="A31" s="3" t="s">
        <v>467</v>
      </c>
      <c r="B31" s="3" t="s">
        <v>468</v>
      </c>
      <c r="C31" s="89">
        <v>2225</v>
      </c>
      <c r="D31" s="16" t="s">
        <v>51</v>
      </c>
      <c r="E31" s="17" t="s">
        <v>17</v>
      </c>
      <c r="F31" s="12">
        <v>148</v>
      </c>
      <c r="G31" s="12">
        <v>34</v>
      </c>
      <c r="H31" s="12">
        <v>3</v>
      </c>
      <c r="I31" s="14"/>
      <c r="J31" s="14"/>
    </row>
    <row r="32" spans="1:15" x14ac:dyDescent="0.35">
      <c r="A32" s="80"/>
      <c r="B32" s="80"/>
      <c r="C32" s="85"/>
      <c r="D32" s="16" t="s">
        <v>51</v>
      </c>
      <c r="E32" s="17" t="s">
        <v>2</v>
      </c>
      <c r="F32" s="12">
        <v>238</v>
      </c>
      <c r="G32" s="12">
        <v>34</v>
      </c>
      <c r="H32" s="12">
        <v>3</v>
      </c>
      <c r="I32" s="12">
        <v>8</v>
      </c>
      <c r="J32" s="14"/>
    </row>
    <row r="33" spans="1:15" x14ac:dyDescent="0.35">
      <c r="A33" s="80"/>
      <c r="B33" s="80"/>
      <c r="C33" s="85"/>
      <c r="D33" s="16" t="s">
        <v>51</v>
      </c>
      <c r="E33" s="17" t="s">
        <v>3</v>
      </c>
      <c r="F33" s="12">
        <v>104</v>
      </c>
      <c r="G33" s="12">
        <v>11</v>
      </c>
      <c r="H33" s="12">
        <v>2</v>
      </c>
      <c r="I33" s="12">
        <v>2</v>
      </c>
      <c r="J33" s="14"/>
    </row>
    <row r="34" spans="1:15" x14ac:dyDescent="0.35">
      <c r="A34" s="80"/>
      <c r="B34" s="80"/>
      <c r="C34" s="85"/>
      <c r="D34" s="16" t="s">
        <v>51</v>
      </c>
      <c r="E34" s="17" t="s">
        <v>4</v>
      </c>
      <c r="F34" s="12">
        <v>139</v>
      </c>
      <c r="G34" s="12">
        <v>21</v>
      </c>
      <c r="H34" s="12">
        <v>1</v>
      </c>
      <c r="I34" s="12">
        <v>3</v>
      </c>
      <c r="J34" s="14"/>
    </row>
    <row r="35" spans="1:15" x14ac:dyDescent="0.35">
      <c r="A35" s="80"/>
      <c r="B35" s="80"/>
      <c r="C35" s="85"/>
      <c r="D35" s="16" t="s">
        <v>51</v>
      </c>
      <c r="E35" s="17" t="s">
        <v>5</v>
      </c>
      <c r="F35" s="12">
        <v>203</v>
      </c>
      <c r="G35" s="12">
        <v>33</v>
      </c>
      <c r="H35" s="12">
        <v>1</v>
      </c>
      <c r="I35" s="12">
        <v>4</v>
      </c>
      <c r="J35" s="12">
        <v>2</v>
      </c>
    </row>
    <row r="36" spans="1:15" x14ac:dyDescent="0.35">
      <c r="A36" s="80"/>
      <c r="B36" s="80"/>
      <c r="C36" s="85"/>
      <c r="D36" s="16" t="s">
        <v>51</v>
      </c>
      <c r="E36" s="17" t="s">
        <v>6</v>
      </c>
      <c r="F36" s="12">
        <v>129</v>
      </c>
      <c r="G36" s="12">
        <v>98</v>
      </c>
      <c r="H36" s="12">
        <v>7</v>
      </c>
      <c r="I36" s="12">
        <v>12</v>
      </c>
      <c r="J36" s="14"/>
    </row>
    <row r="37" spans="1:15" x14ac:dyDescent="0.35">
      <c r="A37" s="80"/>
      <c r="B37" s="80"/>
      <c r="C37" s="85"/>
      <c r="D37" s="16" t="s">
        <v>51</v>
      </c>
      <c r="E37" s="17" t="s">
        <v>7</v>
      </c>
      <c r="F37" s="12">
        <v>72</v>
      </c>
      <c r="G37" s="12">
        <v>17</v>
      </c>
      <c r="H37" s="14"/>
      <c r="I37" s="12">
        <v>3</v>
      </c>
      <c r="J37" s="14"/>
      <c r="K37" s="2">
        <f>SUM(F31:F37)</f>
        <v>1033</v>
      </c>
      <c r="L37" s="2">
        <f t="shared" ref="L37:O37" si="3">SUM(G31:G37)</f>
        <v>248</v>
      </c>
      <c r="M37" s="2">
        <f t="shared" si="3"/>
        <v>17</v>
      </c>
      <c r="N37" s="2">
        <f t="shared" si="3"/>
        <v>32</v>
      </c>
      <c r="O37" s="2">
        <f t="shared" si="3"/>
        <v>2</v>
      </c>
    </row>
    <row r="38" spans="1:15" x14ac:dyDescent="0.35">
      <c r="A38" s="6" t="s">
        <v>469</v>
      </c>
      <c r="B38" s="6" t="s">
        <v>470</v>
      </c>
      <c r="C38" s="88">
        <v>2213</v>
      </c>
      <c r="D38" s="16" t="s">
        <v>52</v>
      </c>
      <c r="E38" s="17" t="s">
        <v>17</v>
      </c>
      <c r="F38" s="13">
        <v>94</v>
      </c>
      <c r="G38" s="13">
        <v>6</v>
      </c>
      <c r="H38" s="13">
        <v>2</v>
      </c>
      <c r="I38" s="13">
        <v>2</v>
      </c>
      <c r="J38" s="15"/>
    </row>
    <row r="39" spans="1:15" x14ac:dyDescent="0.35">
      <c r="A39" s="74"/>
      <c r="B39" s="74"/>
      <c r="C39" s="84"/>
      <c r="D39" s="16" t="s">
        <v>52</v>
      </c>
      <c r="E39" s="17" t="s">
        <v>2</v>
      </c>
      <c r="F39" s="13">
        <v>283</v>
      </c>
      <c r="G39" s="13">
        <v>35</v>
      </c>
      <c r="H39" s="13">
        <v>19</v>
      </c>
      <c r="I39" s="13">
        <v>6</v>
      </c>
      <c r="J39" s="15"/>
    </row>
    <row r="40" spans="1:15" x14ac:dyDescent="0.35">
      <c r="A40" s="74"/>
      <c r="B40" s="74"/>
      <c r="C40" s="84"/>
      <c r="D40" s="16" t="s">
        <v>52</v>
      </c>
      <c r="E40" s="17" t="s">
        <v>3</v>
      </c>
      <c r="F40" s="13">
        <v>122</v>
      </c>
      <c r="G40" s="13">
        <v>29</v>
      </c>
      <c r="H40" s="13">
        <v>2</v>
      </c>
      <c r="I40" s="13">
        <v>8</v>
      </c>
      <c r="J40" s="13">
        <v>1</v>
      </c>
    </row>
    <row r="41" spans="1:15" x14ac:dyDescent="0.35">
      <c r="A41" s="74"/>
      <c r="B41" s="74"/>
      <c r="C41" s="84"/>
      <c r="D41" s="16" t="s">
        <v>52</v>
      </c>
      <c r="E41" s="17" t="s">
        <v>4</v>
      </c>
      <c r="F41" s="13">
        <v>355</v>
      </c>
      <c r="G41" s="13">
        <v>66</v>
      </c>
      <c r="H41" s="13">
        <v>12</v>
      </c>
      <c r="I41" s="13">
        <v>10</v>
      </c>
      <c r="J41" s="15"/>
    </row>
    <row r="42" spans="1:15" x14ac:dyDescent="0.35">
      <c r="A42" s="74"/>
      <c r="B42" s="74"/>
      <c r="C42" s="84"/>
      <c r="D42" s="16" t="s">
        <v>52</v>
      </c>
      <c r="E42" s="17" t="s">
        <v>5</v>
      </c>
      <c r="F42" s="13">
        <v>30</v>
      </c>
      <c r="G42" s="13">
        <v>4</v>
      </c>
      <c r="H42" s="13">
        <v>1</v>
      </c>
      <c r="I42" s="13">
        <v>1</v>
      </c>
      <c r="J42" s="15"/>
    </row>
    <row r="43" spans="1:15" x14ac:dyDescent="0.35">
      <c r="A43" s="74"/>
      <c r="B43" s="74"/>
      <c r="C43" s="84"/>
      <c r="D43" s="16" t="s">
        <v>52</v>
      </c>
      <c r="E43" s="17" t="s">
        <v>6</v>
      </c>
      <c r="F43" s="13">
        <v>120</v>
      </c>
      <c r="G43" s="13">
        <v>25</v>
      </c>
      <c r="H43" s="15"/>
      <c r="I43" s="13">
        <v>3</v>
      </c>
      <c r="J43" s="15"/>
      <c r="K43" s="2">
        <f>SUM(F38:F43)</f>
        <v>1004</v>
      </c>
      <c r="L43" s="2">
        <f t="shared" ref="L43:O43" si="4">SUM(G38:G43)</f>
        <v>165</v>
      </c>
      <c r="M43" s="2">
        <f t="shared" si="4"/>
        <v>36</v>
      </c>
      <c r="N43" s="2">
        <f t="shared" si="4"/>
        <v>30</v>
      </c>
      <c r="O43" s="2">
        <f t="shared" si="4"/>
        <v>1</v>
      </c>
    </row>
    <row r="44" spans="1:15" x14ac:dyDescent="0.35">
      <c r="A44" s="3" t="s">
        <v>471</v>
      </c>
      <c r="B44" s="3" t="s">
        <v>472</v>
      </c>
      <c r="C44" s="89">
        <v>1738</v>
      </c>
      <c r="D44" s="16" t="s">
        <v>53</v>
      </c>
      <c r="E44" s="17" t="s">
        <v>17</v>
      </c>
      <c r="F44" s="12">
        <v>73</v>
      </c>
      <c r="G44" s="12">
        <v>55</v>
      </c>
      <c r="H44" s="12">
        <v>1</v>
      </c>
      <c r="I44" s="12">
        <v>3</v>
      </c>
      <c r="J44" s="14"/>
    </row>
    <row r="45" spans="1:15" x14ac:dyDescent="0.35">
      <c r="A45" s="80"/>
      <c r="B45" s="80"/>
      <c r="C45" s="85"/>
      <c r="D45" s="16" t="s">
        <v>53</v>
      </c>
      <c r="E45" s="17" t="s">
        <v>2</v>
      </c>
      <c r="F45" s="12">
        <v>84</v>
      </c>
      <c r="G45" s="12">
        <v>21</v>
      </c>
      <c r="H45" s="12">
        <v>4</v>
      </c>
      <c r="I45" s="12">
        <v>4</v>
      </c>
      <c r="J45" s="14"/>
    </row>
    <row r="46" spans="1:15" x14ac:dyDescent="0.35">
      <c r="A46" s="80"/>
      <c r="B46" s="80"/>
      <c r="C46" s="85"/>
      <c r="D46" s="16" t="s">
        <v>53</v>
      </c>
      <c r="E46" s="17" t="s">
        <v>3</v>
      </c>
      <c r="F46" s="12">
        <v>177</v>
      </c>
      <c r="G46" s="12">
        <v>26</v>
      </c>
      <c r="H46" s="12">
        <v>10</v>
      </c>
      <c r="I46" s="12">
        <v>8</v>
      </c>
      <c r="J46" s="14"/>
    </row>
    <row r="47" spans="1:15" x14ac:dyDescent="0.35">
      <c r="A47" s="80"/>
      <c r="B47" s="80"/>
      <c r="C47" s="85"/>
      <c r="D47" s="16" t="s">
        <v>53</v>
      </c>
      <c r="E47" s="17" t="s">
        <v>4</v>
      </c>
      <c r="F47" s="12">
        <v>243</v>
      </c>
      <c r="G47" s="12">
        <v>51</v>
      </c>
      <c r="H47" s="12">
        <v>16</v>
      </c>
      <c r="I47" s="12">
        <v>12</v>
      </c>
      <c r="J47" s="14"/>
    </row>
    <row r="48" spans="1:15" x14ac:dyDescent="0.35">
      <c r="A48" s="80"/>
      <c r="B48" s="80"/>
      <c r="C48" s="85"/>
      <c r="D48" s="16" t="s">
        <v>53</v>
      </c>
      <c r="E48" s="17" t="s">
        <v>5</v>
      </c>
      <c r="F48" s="12">
        <v>103</v>
      </c>
      <c r="G48" s="12">
        <v>60</v>
      </c>
      <c r="H48" s="12">
        <v>6</v>
      </c>
      <c r="I48" s="12">
        <v>8</v>
      </c>
      <c r="J48" s="12">
        <v>1</v>
      </c>
    </row>
    <row r="49" spans="1:15" x14ac:dyDescent="0.35">
      <c r="A49" s="80"/>
      <c r="B49" s="80"/>
      <c r="C49" s="85"/>
      <c r="D49" s="16" t="s">
        <v>53</v>
      </c>
      <c r="E49" s="17" t="s">
        <v>6</v>
      </c>
      <c r="F49" s="12">
        <v>156</v>
      </c>
      <c r="G49" s="12">
        <v>13</v>
      </c>
      <c r="H49" s="12">
        <v>1</v>
      </c>
      <c r="I49" s="12">
        <v>3</v>
      </c>
      <c r="J49" s="14"/>
      <c r="K49" s="2">
        <f>SUM(F44:F49)</f>
        <v>836</v>
      </c>
      <c r="L49" s="2">
        <f t="shared" ref="L49:O49" si="5">SUM(G44:G49)</f>
        <v>226</v>
      </c>
      <c r="M49" s="2">
        <f t="shared" si="5"/>
        <v>38</v>
      </c>
      <c r="N49" s="2">
        <f t="shared" si="5"/>
        <v>38</v>
      </c>
      <c r="O49" s="2">
        <f t="shared" si="5"/>
        <v>1</v>
      </c>
    </row>
    <row r="50" spans="1:15" x14ac:dyDescent="0.35">
      <c r="A50" s="6" t="s">
        <v>473</v>
      </c>
      <c r="B50" s="6" t="s">
        <v>474</v>
      </c>
      <c r="C50" s="88">
        <v>1322</v>
      </c>
      <c r="D50" s="16" t="s">
        <v>54</v>
      </c>
      <c r="E50" s="17" t="s">
        <v>17</v>
      </c>
      <c r="F50" s="13">
        <v>199</v>
      </c>
      <c r="G50" s="13">
        <v>33</v>
      </c>
      <c r="H50" s="13">
        <v>4</v>
      </c>
      <c r="I50" s="13">
        <v>6</v>
      </c>
      <c r="J50" s="15"/>
    </row>
    <row r="51" spans="1:15" x14ac:dyDescent="0.35">
      <c r="A51" s="74"/>
      <c r="B51" s="74"/>
      <c r="C51" s="84"/>
      <c r="D51" s="16" t="s">
        <v>54</v>
      </c>
      <c r="E51" s="17" t="s">
        <v>2</v>
      </c>
      <c r="F51" s="13">
        <v>155</v>
      </c>
      <c r="G51" s="13">
        <v>21</v>
      </c>
      <c r="H51" s="13">
        <v>7</v>
      </c>
      <c r="I51" s="13">
        <v>8</v>
      </c>
      <c r="J51" s="15"/>
    </row>
    <row r="52" spans="1:15" x14ac:dyDescent="0.35">
      <c r="A52" s="74"/>
      <c r="B52" s="74"/>
      <c r="C52" s="84"/>
      <c r="D52" s="16" t="s">
        <v>54</v>
      </c>
      <c r="E52" s="17" t="s">
        <v>3</v>
      </c>
      <c r="F52" s="13">
        <v>91</v>
      </c>
      <c r="G52" s="13">
        <v>50</v>
      </c>
      <c r="H52" s="13">
        <v>1</v>
      </c>
      <c r="I52" s="13">
        <v>3</v>
      </c>
      <c r="J52" s="15"/>
    </row>
    <row r="53" spans="1:15" x14ac:dyDescent="0.35">
      <c r="A53" s="74"/>
      <c r="B53" s="74"/>
      <c r="C53" s="84"/>
      <c r="D53" s="16" t="s">
        <v>54</v>
      </c>
      <c r="E53" s="17" t="s">
        <v>4</v>
      </c>
      <c r="F53" s="13">
        <v>213</v>
      </c>
      <c r="G53" s="13">
        <v>21</v>
      </c>
      <c r="H53" s="13">
        <v>6</v>
      </c>
      <c r="I53" s="13">
        <v>6</v>
      </c>
      <c r="J53" s="13">
        <v>1</v>
      </c>
      <c r="K53" s="2">
        <f>SUM(F50:F53)</f>
        <v>658</v>
      </c>
      <c r="L53" s="2">
        <f t="shared" ref="L53:O53" si="6">SUM(G50:G53)</f>
        <v>125</v>
      </c>
      <c r="M53" s="2">
        <f t="shared" si="6"/>
        <v>18</v>
      </c>
      <c r="N53" s="2">
        <f t="shared" si="6"/>
        <v>23</v>
      </c>
      <c r="O53" s="2">
        <f t="shared" si="6"/>
        <v>1</v>
      </c>
    </row>
    <row r="54" spans="1:15" x14ac:dyDescent="0.35">
      <c r="A54" s="3" t="s">
        <v>475</v>
      </c>
      <c r="B54" s="3" t="s">
        <v>476</v>
      </c>
      <c r="C54" s="89">
        <v>1071</v>
      </c>
      <c r="D54" s="16" t="s">
        <v>55</v>
      </c>
      <c r="E54" s="17" t="s">
        <v>17</v>
      </c>
      <c r="F54" s="12">
        <v>80</v>
      </c>
      <c r="G54" s="12">
        <v>21</v>
      </c>
      <c r="H54" s="14"/>
      <c r="I54" s="14"/>
      <c r="J54" s="14"/>
    </row>
    <row r="55" spans="1:15" x14ac:dyDescent="0.35">
      <c r="A55" s="80"/>
      <c r="B55" s="80"/>
      <c r="C55" s="85"/>
      <c r="D55" s="16" t="s">
        <v>55</v>
      </c>
      <c r="E55" s="17" t="s">
        <v>2</v>
      </c>
      <c r="F55" s="12">
        <v>51</v>
      </c>
      <c r="G55" s="12">
        <v>25</v>
      </c>
      <c r="H55" s="14"/>
      <c r="I55" s="14"/>
      <c r="J55" s="14"/>
    </row>
    <row r="56" spans="1:15" x14ac:dyDescent="0.35">
      <c r="A56" s="80"/>
      <c r="B56" s="80"/>
      <c r="C56" s="85"/>
      <c r="D56" s="16" t="s">
        <v>55</v>
      </c>
      <c r="E56" s="17" t="s">
        <v>3</v>
      </c>
      <c r="F56" s="12">
        <v>103</v>
      </c>
      <c r="G56" s="12">
        <v>42</v>
      </c>
      <c r="H56" s="12">
        <v>4</v>
      </c>
      <c r="I56" s="12">
        <v>3</v>
      </c>
      <c r="J56" s="14"/>
    </row>
    <row r="57" spans="1:15" x14ac:dyDescent="0.35">
      <c r="A57" s="80"/>
      <c r="B57" s="80"/>
      <c r="C57" s="85"/>
      <c r="D57" s="16" t="s">
        <v>55</v>
      </c>
      <c r="E57" s="17" t="s">
        <v>4</v>
      </c>
      <c r="F57" s="12">
        <v>37</v>
      </c>
      <c r="G57" s="12">
        <v>12</v>
      </c>
      <c r="H57" s="14"/>
      <c r="I57" s="12">
        <v>1</v>
      </c>
      <c r="J57" s="14"/>
    </row>
    <row r="58" spans="1:15" x14ac:dyDescent="0.35">
      <c r="A58" s="80"/>
      <c r="B58" s="80"/>
      <c r="C58" s="85"/>
      <c r="D58" s="16" t="s">
        <v>55</v>
      </c>
      <c r="E58" s="17" t="s">
        <v>5</v>
      </c>
      <c r="F58" s="12">
        <v>111</v>
      </c>
      <c r="G58" s="12">
        <v>63</v>
      </c>
      <c r="H58" s="12">
        <v>7</v>
      </c>
      <c r="I58" s="12">
        <v>6</v>
      </c>
      <c r="J58" s="14"/>
    </row>
    <row r="59" spans="1:15" x14ac:dyDescent="0.35">
      <c r="A59" s="80"/>
      <c r="B59" s="80"/>
      <c r="C59" s="85"/>
      <c r="D59" s="16" t="s">
        <v>55</v>
      </c>
      <c r="E59" s="17" t="s">
        <v>6</v>
      </c>
      <c r="F59" s="12">
        <v>135</v>
      </c>
      <c r="G59" s="12">
        <v>34</v>
      </c>
      <c r="H59" s="12">
        <v>6</v>
      </c>
      <c r="I59" s="12">
        <v>6</v>
      </c>
      <c r="J59" s="14"/>
      <c r="K59" s="2">
        <f>SUM(F54:F59)</f>
        <v>517</v>
      </c>
      <c r="L59" s="2">
        <f t="shared" ref="L59:O59" si="7">SUM(G54:G59)</f>
        <v>197</v>
      </c>
      <c r="M59" s="2">
        <f t="shared" si="7"/>
        <v>17</v>
      </c>
      <c r="N59" s="2">
        <f t="shared" si="7"/>
        <v>16</v>
      </c>
      <c r="O59" s="2">
        <f t="shared" si="7"/>
        <v>0</v>
      </c>
    </row>
    <row r="60" spans="1:15" x14ac:dyDescent="0.35">
      <c r="A60" s="6" t="s">
        <v>477</v>
      </c>
      <c r="B60" s="6" t="s">
        <v>478</v>
      </c>
      <c r="C60" s="88">
        <v>1314</v>
      </c>
      <c r="D60" s="16" t="s">
        <v>56</v>
      </c>
      <c r="E60" s="17" t="s">
        <v>17</v>
      </c>
      <c r="F60" s="13">
        <v>158</v>
      </c>
      <c r="G60" s="13">
        <v>54</v>
      </c>
      <c r="H60" s="13">
        <v>3</v>
      </c>
      <c r="I60" s="13">
        <v>4</v>
      </c>
      <c r="J60" s="15"/>
    </row>
    <row r="61" spans="1:15" x14ac:dyDescent="0.35">
      <c r="A61" s="74"/>
      <c r="B61" s="74"/>
      <c r="C61" s="84"/>
      <c r="D61" s="16" t="s">
        <v>56</v>
      </c>
      <c r="E61" s="17" t="s">
        <v>2</v>
      </c>
      <c r="F61" s="13">
        <v>33</v>
      </c>
      <c r="G61" s="13">
        <v>4</v>
      </c>
      <c r="H61" s="15"/>
      <c r="I61" s="13">
        <v>2</v>
      </c>
      <c r="J61" s="15"/>
    </row>
    <row r="62" spans="1:15" x14ac:dyDescent="0.35">
      <c r="A62" s="74"/>
      <c r="B62" s="74"/>
      <c r="C62" s="84"/>
      <c r="D62" s="16" t="s">
        <v>56</v>
      </c>
      <c r="E62" s="17" t="s">
        <v>3</v>
      </c>
      <c r="F62" s="13">
        <v>189</v>
      </c>
      <c r="G62" s="13">
        <v>27</v>
      </c>
      <c r="H62" s="13">
        <v>3</v>
      </c>
      <c r="I62" s="13">
        <v>5</v>
      </c>
      <c r="J62" s="15"/>
    </row>
    <row r="63" spans="1:15" x14ac:dyDescent="0.35">
      <c r="A63" s="74"/>
      <c r="B63" s="74"/>
      <c r="C63" s="84"/>
      <c r="D63" s="16" t="s">
        <v>56</v>
      </c>
      <c r="E63" s="17" t="s">
        <v>4</v>
      </c>
      <c r="F63" s="13">
        <v>125</v>
      </c>
      <c r="G63" s="13">
        <v>22</v>
      </c>
      <c r="H63" s="15"/>
      <c r="I63" s="13">
        <v>1</v>
      </c>
      <c r="J63" s="15"/>
    </row>
    <row r="64" spans="1:15" x14ac:dyDescent="0.35">
      <c r="A64" s="74"/>
      <c r="B64" s="74"/>
      <c r="C64" s="84"/>
      <c r="D64" s="16" t="s">
        <v>56</v>
      </c>
      <c r="E64" s="17" t="s">
        <v>5</v>
      </c>
      <c r="F64" s="13">
        <v>111</v>
      </c>
      <c r="G64" s="13">
        <v>13</v>
      </c>
      <c r="H64" s="13">
        <v>3</v>
      </c>
      <c r="I64" s="15"/>
      <c r="J64" s="15"/>
      <c r="K64" s="2">
        <f>SUM(F60:F64)</f>
        <v>616</v>
      </c>
      <c r="L64" s="2">
        <f t="shared" ref="L64:O64" si="8">SUM(G60:G64)</f>
        <v>120</v>
      </c>
      <c r="M64" s="2">
        <f t="shared" si="8"/>
        <v>9</v>
      </c>
      <c r="N64" s="2">
        <f t="shared" si="8"/>
        <v>12</v>
      </c>
      <c r="O64" s="2">
        <f t="shared" si="8"/>
        <v>0</v>
      </c>
    </row>
    <row r="65" spans="1:15" x14ac:dyDescent="0.35">
      <c r="A65" s="3" t="s">
        <v>479</v>
      </c>
      <c r="B65" s="3" t="s">
        <v>480</v>
      </c>
      <c r="C65" s="89">
        <v>1345</v>
      </c>
      <c r="D65" s="16" t="s">
        <v>57</v>
      </c>
      <c r="E65" s="17" t="s">
        <v>17</v>
      </c>
      <c r="F65" s="12">
        <v>142</v>
      </c>
      <c r="G65" s="12">
        <v>43</v>
      </c>
      <c r="H65" s="12">
        <v>4</v>
      </c>
      <c r="I65" s="12">
        <v>10</v>
      </c>
      <c r="J65" s="14"/>
    </row>
    <row r="66" spans="1:15" x14ac:dyDescent="0.35">
      <c r="A66" s="80"/>
      <c r="B66" s="80"/>
      <c r="C66" s="85"/>
      <c r="D66" s="16" t="s">
        <v>57</v>
      </c>
      <c r="E66" s="17" t="s">
        <v>2</v>
      </c>
      <c r="F66" s="12">
        <v>92</v>
      </c>
      <c r="G66" s="12">
        <v>29</v>
      </c>
      <c r="H66" s="12">
        <v>5</v>
      </c>
      <c r="I66" s="12">
        <v>4</v>
      </c>
      <c r="J66" s="14"/>
    </row>
    <row r="67" spans="1:15" x14ac:dyDescent="0.35">
      <c r="A67" s="80"/>
      <c r="B67" s="80"/>
      <c r="C67" s="85"/>
      <c r="D67" s="16" t="s">
        <v>57</v>
      </c>
      <c r="E67" s="17" t="s">
        <v>3</v>
      </c>
      <c r="F67" s="12">
        <v>151</v>
      </c>
      <c r="G67" s="12">
        <v>19</v>
      </c>
      <c r="H67" s="12">
        <v>2</v>
      </c>
      <c r="I67" s="12">
        <v>5</v>
      </c>
      <c r="J67" s="14"/>
    </row>
    <row r="68" spans="1:15" x14ac:dyDescent="0.35">
      <c r="A68" s="80"/>
      <c r="B68" s="80"/>
      <c r="C68" s="85"/>
      <c r="D68" s="16" t="s">
        <v>57</v>
      </c>
      <c r="E68" s="17" t="s">
        <v>4</v>
      </c>
      <c r="F68" s="12">
        <v>211</v>
      </c>
      <c r="G68" s="12">
        <v>26</v>
      </c>
      <c r="H68" s="12">
        <v>2</v>
      </c>
      <c r="I68" s="12">
        <v>2</v>
      </c>
      <c r="J68" s="14"/>
    </row>
    <row r="69" spans="1:15" x14ac:dyDescent="0.35">
      <c r="A69" s="80"/>
      <c r="B69" s="80"/>
      <c r="C69" s="85"/>
      <c r="D69" s="16" t="s">
        <v>57</v>
      </c>
      <c r="E69" s="17" t="s">
        <v>5</v>
      </c>
      <c r="F69" s="12">
        <v>173</v>
      </c>
      <c r="G69" s="12">
        <v>27</v>
      </c>
      <c r="H69" s="14"/>
      <c r="I69" s="12">
        <v>3</v>
      </c>
      <c r="J69" s="14"/>
      <c r="K69" s="2">
        <f>SUM(F65:F69)</f>
        <v>769</v>
      </c>
      <c r="L69" s="2">
        <f t="shared" ref="L69:O69" si="9">SUM(G65:G69)</f>
        <v>144</v>
      </c>
      <c r="M69" s="2">
        <f t="shared" si="9"/>
        <v>13</v>
      </c>
      <c r="N69" s="2">
        <f t="shared" si="9"/>
        <v>24</v>
      </c>
      <c r="O69" s="2">
        <f t="shared" si="9"/>
        <v>0</v>
      </c>
    </row>
    <row r="70" spans="1:15" x14ac:dyDescent="0.35">
      <c r="A70" s="6" t="s">
        <v>459</v>
      </c>
      <c r="B70" s="6" t="s">
        <v>460</v>
      </c>
      <c r="C70" s="88">
        <v>777</v>
      </c>
      <c r="D70" s="16" t="s">
        <v>58</v>
      </c>
      <c r="E70" s="17" t="s">
        <v>17</v>
      </c>
      <c r="F70" s="13">
        <v>106</v>
      </c>
      <c r="G70" s="13">
        <v>24</v>
      </c>
      <c r="H70" s="13">
        <v>7</v>
      </c>
      <c r="I70" s="13">
        <v>6</v>
      </c>
      <c r="J70" s="13">
        <v>1</v>
      </c>
    </row>
    <row r="71" spans="1:15" x14ac:dyDescent="0.35">
      <c r="A71" s="74"/>
      <c r="B71" s="74"/>
      <c r="C71" s="84"/>
      <c r="D71" s="16" t="s">
        <v>58</v>
      </c>
      <c r="E71" s="17" t="s">
        <v>2</v>
      </c>
      <c r="F71" s="13">
        <v>178</v>
      </c>
      <c r="G71" s="13">
        <v>35</v>
      </c>
      <c r="H71" s="13">
        <v>10</v>
      </c>
      <c r="I71" s="13">
        <v>5</v>
      </c>
      <c r="J71" s="13">
        <v>1</v>
      </c>
    </row>
    <row r="72" spans="1:15" x14ac:dyDescent="0.35">
      <c r="A72" s="74"/>
      <c r="B72" s="74"/>
      <c r="C72" s="84"/>
      <c r="D72" s="16" t="s">
        <v>58</v>
      </c>
      <c r="E72" s="17" t="s">
        <v>3</v>
      </c>
      <c r="F72" s="13">
        <v>46</v>
      </c>
      <c r="G72" s="13">
        <v>5</v>
      </c>
      <c r="H72" s="13">
        <v>3</v>
      </c>
      <c r="I72" s="13">
        <v>4</v>
      </c>
      <c r="J72" s="15"/>
    </row>
    <row r="73" spans="1:15" x14ac:dyDescent="0.35">
      <c r="A73" s="74"/>
      <c r="B73" s="74"/>
      <c r="C73" s="84"/>
      <c r="D73" s="16" t="s">
        <v>58</v>
      </c>
      <c r="E73" s="17" t="s">
        <v>4</v>
      </c>
      <c r="F73" s="13">
        <v>28</v>
      </c>
      <c r="G73" s="13">
        <v>11</v>
      </c>
      <c r="H73" s="15"/>
      <c r="I73" s="13">
        <v>3</v>
      </c>
      <c r="J73" s="15"/>
      <c r="K73" s="2">
        <f>SUM(F70:F73)</f>
        <v>358</v>
      </c>
      <c r="L73" s="2">
        <f t="shared" ref="L73:O73" si="10">SUM(G70:G73)</f>
        <v>75</v>
      </c>
      <c r="M73" s="2">
        <f t="shared" si="10"/>
        <v>20</v>
      </c>
      <c r="N73" s="2">
        <f t="shared" si="10"/>
        <v>18</v>
      </c>
      <c r="O73" s="2">
        <f t="shared" si="10"/>
        <v>2</v>
      </c>
    </row>
    <row r="74" spans="1:15" x14ac:dyDescent="0.35">
      <c r="A74" s="3" t="s">
        <v>481</v>
      </c>
      <c r="B74" s="3" t="s">
        <v>482</v>
      </c>
      <c r="C74" s="89">
        <v>1181</v>
      </c>
      <c r="D74" s="16" t="s">
        <v>59</v>
      </c>
      <c r="E74" s="17" t="s">
        <v>17</v>
      </c>
      <c r="F74" s="12">
        <v>91</v>
      </c>
      <c r="G74" s="12">
        <v>29</v>
      </c>
      <c r="H74" s="12">
        <v>2</v>
      </c>
      <c r="I74" s="12">
        <v>7</v>
      </c>
      <c r="J74" s="14"/>
    </row>
    <row r="75" spans="1:15" x14ac:dyDescent="0.35">
      <c r="A75" s="80"/>
      <c r="B75" s="80"/>
      <c r="C75" s="85"/>
      <c r="D75" s="16" t="s">
        <v>59</v>
      </c>
      <c r="E75" s="17" t="s">
        <v>2</v>
      </c>
      <c r="F75" s="12">
        <v>76</v>
      </c>
      <c r="G75" s="12">
        <v>6</v>
      </c>
      <c r="H75" s="14"/>
      <c r="I75" s="12">
        <v>4</v>
      </c>
      <c r="J75" s="14"/>
    </row>
    <row r="76" spans="1:15" x14ac:dyDescent="0.35">
      <c r="A76" s="80"/>
      <c r="B76" s="80"/>
      <c r="C76" s="85"/>
      <c r="D76" s="16" t="s">
        <v>59</v>
      </c>
      <c r="E76" s="17" t="s">
        <v>3</v>
      </c>
      <c r="F76" s="12">
        <v>60</v>
      </c>
      <c r="G76" s="12">
        <v>12</v>
      </c>
      <c r="H76" s="14"/>
      <c r="I76" s="12">
        <v>3</v>
      </c>
      <c r="J76" s="14"/>
    </row>
    <row r="77" spans="1:15" x14ac:dyDescent="0.35">
      <c r="A77" s="80"/>
      <c r="B77" s="80"/>
      <c r="C77" s="85"/>
      <c r="D77" s="16" t="s">
        <v>59</v>
      </c>
      <c r="E77" s="17" t="s">
        <v>4</v>
      </c>
      <c r="F77" s="12">
        <v>82</v>
      </c>
      <c r="G77" s="12">
        <v>33</v>
      </c>
      <c r="H77" s="12">
        <v>3</v>
      </c>
      <c r="I77" s="14"/>
      <c r="J77" s="14"/>
    </row>
    <row r="78" spans="1:15" x14ac:dyDescent="0.35">
      <c r="A78" s="80"/>
      <c r="B78" s="80"/>
      <c r="C78" s="85"/>
      <c r="D78" s="16" t="s">
        <v>59</v>
      </c>
      <c r="E78" s="17" t="s">
        <v>5</v>
      </c>
      <c r="F78" s="12">
        <v>141</v>
      </c>
      <c r="G78" s="12">
        <v>43</v>
      </c>
      <c r="H78" s="12">
        <v>4</v>
      </c>
      <c r="I78" s="12">
        <v>3</v>
      </c>
      <c r="J78" s="14"/>
    </row>
    <row r="79" spans="1:15" x14ac:dyDescent="0.35">
      <c r="A79" s="80"/>
      <c r="B79" s="80"/>
      <c r="C79" s="85"/>
      <c r="D79" s="16" t="s">
        <v>59</v>
      </c>
      <c r="E79" s="17" t="s">
        <v>6</v>
      </c>
      <c r="F79" s="12">
        <v>71</v>
      </c>
      <c r="G79" s="12">
        <v>23</v>
      </c>
      <c r="H79" s="14"/>
      <c r="I79" s="12">
        <v>2</v>
      </c>
      <c r="J79" s="14"/>
    </row>
    <row r="80" spans="1:15" x14ac:dyDescent="0.35">
      <c r="A80" s="80"/>
      <c r="B80" s="80"/>
      <c r="C80" s="85"/>
      <c r="D80" s="16" t="s">
        <v>59</v>
      </c>
      <c r="E80" s="17" t="s">
        <v>7</v>
      </c>
      <c r="F80" s="12">
        <v>60</v>
      </c>
      <c r="G80" s="12">
        <v>25</v>
      </c>
      <c r="H80" s="12">
        <v>1</v>
      </c>
      <c r="I80" s="12">
        <v>3</v>
      </c>
      <c r="J80" s="14"/>
      <c r="K80" s="2">
        <f>SUM(F74:F80)</f>
        <v>581</v>
      </c>
      <c r="L80" s="2">
        <f t="shared" ref="L80:O80" si="11">SUM(G74:G80)</f>
        <v>171</v>
      </c>
      <c r="M80" s="2">
        <f t="shared" si="11"/>
        <v>10</v>
      </c>
      <c r="N80" s="2">
        <f t="shared" si="11"/>
        <v>22</v>
      </c>
      <c r="O80" s="2">
        <f t="shared" si="11"/>
        <v>0</v>
      </c>
    </row>
    <row r="81" spans="1:10" x14ac:dyDescent="0.35">
      <c r="A81" s="81"/>
      <c r="B81" s="81" t="s">
        <v>723</v>
      </c>
      <c r="C81" s="86">
        <f>SUM(C5:C74)</f>
        <v>22580</v>
      </c>
      <c r="D81" s="303" t="s">
        <v>231</v>
      </c>
      <c r="E81" s="303"/>
      <c r="F81" s="20">
        <f>SUM(F5:F80)</f>
        <v>10096</v>
      </c>
      <c r="G81" s="20">
        <f>SUM(G5:G80)</f>
        <v>2781</v>
      </c>
      <c r="H81" s="20">
        <f>SUM(H5:H80)</f>
        <v>350</v>
      </c>
      <c r="I81" s="20">
        <f>SUM(I5:I80)</f>
        <v>392</v>
      </c>
      <c r="J81" s="20">
        <f>SUM(J5:J80)</f>
        <v>12</v>
      </c>
    </row>
    <row r="82" spans="1:10" x14ac:dyDescent="0.35">
      <c r="B82" s="18" t="s">
        <v>726</v>
      </c>
      <c r="C82" s="90">
        <f>SUM(C81,F81,G81,H81,I81,J81)</f>
        <v>36211</v>
      </c>
    </row>
  </sheetData>
  <mergeCells count="6">
    <mergeCell ref="D1:J1"/>
    <mergeCell ref="D2:J2"/>
    <mergeCell ref="D81:E81"/>
    <mergeCell ref="F3:J3"/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opLeftCell="A106" zoomScale="90" zoomScaleNormal="90" workbookViewId="0">
      <selection activeCell="K143" sqref="K143:O143"/>
    </sheetView>
  </sheetViews>
  <sheetFormatPr defaultRowHeight="21" x14ac:dyDescent="0.35"/>
  <cols>
    <col min="1" max="1" width="14.140625" style="2" customWidth="1"/>
    <col min="2" max="2" width="29.5703125" style="2" customWidth="1"/>
    <col min="3" max="3" width="18.5703125" style="2" customWidth="1"/>
    <col min="4" max="4" width="16.140625" style="2" customWidth="1"/>
    <col min="5" max="5" width="9.140625" style="22"/>
    <col min="6" max="6" width="14.140625" style="22" customWidth="1"/>
    <col min="7" max="7" width="14.5703125" style="22" customWidth="1"/>
    <col min="8" max="8" width="9.140625" style="22"/>
    <col min="9" max="9" width="20.28515625" style="22" customWidth="1"/>
    <col min="10" max="10" width="15.7109375" style="22" customWidth="1"/>
    <col min="11" max="16384" width="9.140625" style="2"/>
  </cols>
  <sheetData>
    <row r="1" spans="1:15" x14ac:dyDescent="0.35">
      <c r="A1" s="302" t="s">
        <v>727</v>
      </c>
      <c r="B1" s="302"/>
      <c r="C1" s="302"/>
      <c r="D1" s="298" t="s">
        <v>249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D3" s="44"/>
      <c r="E3" s="44"/>
      <c r="F3" s="303" t="s">
        <v>718</v>
      </c>
      <c r="G3" s="303"/>
      <c r="H3" s="303"/>
      <c r="I3" s="303"/>
      <c r="J3" s="303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240</v>
      </c>
      <c r="J4" s="19" t="s">
        <v>221</v>
      </c>
    </row>
    <row r="5" spans="1:15" x14ac:dyDescent="0.35">
      <c r="A5" s="6" t="s">
        <v>489</v>
      </c>
      <c r="B5" s="6" t="s">
        <v>490</v>
      </c>
      <c r="C5" s="6">
        <v>3329</v>
      </c>
      <c r="D5" s="16" t="s">
        <v>60</v>
      </c>
      <c r="E5" s="17" t="s">
        <v>0</v>
      </c>
      <c r="F5" s="13">
        <v>2</v>
      </c>
      <c r="G5" s="15"/>
      <c r="H5" s="15"/>
      <c r="I5" s="15"/>
      <c r="J5" s="13">
        <v>1</v>
      </c>
    </row>
    <row r="6" spans="1:15" x14ac:dyDescent="0.35">
      <c r="A6" s="74"/>
      <c r="B6" s="74"/>
      <c r="C6" s="74"/>
      <c r="D6" s="16" t="s">
        <v>60</v>
      </c>
      <c r="E6" s="17" t="s">
        <v>17</v>
      </c>
      <c r="F6" s="13">
        <v>113</v>
      </c>
      <c r="G6" s="13">
        <v>31</v>
      </c>
      <c r="H6" s="13">
        <v>3</v>
      </c>
      <c r="I6" s="13">
        <v>2</v>
      </c>
      <c r="J6" s="13">
        <v>1</v>
      </c>
    </row>
    <row r="7" spans="1:15" x14ac:dyDescent="0.35">
      <c r="A7" s="74"/>
      <c r="B7" s="74"/>
      <c r="C7" s="74"/>
      <c r="D7" s="16" t="s">
        <v>60</v>
      </c>
      <c r="E7" s="17" t="s">
        <v>2</v>
      </c>
      <c r="F7" s="13">
        <v>124</v>
      </c>
      <c r="G7" s="13">
        <v>57</v>
      </c>
      <c r="H7" s="13">
        <v>2</v>
      </c>
      <c r="I7" s="13">
        <v>6</v>
      </c>
      <c r="J7" s="15"/>
    </row>
    <row r="8" spans="1:15" x14ac:dyDescent="0.35">
      <c r="A8" s="74"/>
      <c r="B8" s="74"/>
      <c r="C8" s="74"/>
      <c r="D8" s="16" t="s">
        <v>60</v>
      </c>
      <c r="E8" s="17" t="s">
        <v>3</v>
      </c>
      <c r="F8" s="13">
        <v>144</v>
      </c>
      <c r="G8" s="13">
        <v>55</v>
      </c>
      <c r="H8" s="13">
        <v>11</v>
      </c>
      <c r="I8" s="13">
        <v>4</v>
      </c>
      <c r="J8" s="15"/>
    </row>
    <row r="9" spans="1:15" x14ac:dyDescent="0.35">
      <c r="A9" s="74"/>
      <c r="B9" s="74"/>
      <c r="C9" s="74"/>
      <c r="D9" s="16" t="s">
        <v>60</v>
      </c>
      <c r="E9" s="17" t="s">
        <v>4</v>
      </c>
      <c r="F9" s="13">
        <v>78</v>
      </c>
      <c r="G9" s="13">
        <v>133</v>
      </c>
      <c r="H9" s="13">
        <v>20</v>
      </c>
      <c r="I9" s="13">
        <v>11</v>
      </c>
      <c r="J9" s="15"/>
    </row>
    <row r="10" spans="1:15" x14ac:dyDescent="0.35">
      <c r="A10" s="74"/>
      <c r="B10" s="74"/>
      <c r="C10" s="74"/>
      <c r="D10" s="16" t="s">
        <v>60</v>
      </c>
      <c r="E10" s="17" t="s">
        <v>5</v>
      </c>
      <c r="F10" s="13">
        <v>43</v>
      </c>
      <c r="G10" s="13">
        <v>25</v>
      </c>
      <c r="H10" s="13">
        <v>6</v>
      </c>
      <c r="I10" s="13">
        <v>5</v>
      </c>
      <c r="J10" s="15"/>
    </row>
    <row r="11" spans="1:15" x14ac:dyDescent="0.35">
      <c r="A11" s="74"/>
      <c r="B11" s="74"/>
      <c r="C11" s="74"/>
      <c r="D11" s="16" t="s">
        <v>60</v>
      </c>
      <c r="E11" s="17" t="s">
        <v>6</v>
      </c>
      <c r="F11" s="13">
        <v>55</v>
      </c>
      <c r="G11" s="13">
        <v>12</v>
      </c>
      <c r="H11" s="13">
        <v>6</v>
      </c>
      <c r="I11" s="13">
        <v>1</v>
      </c>
      <c r="J11" s="15"/>
    </row>
    <row r="12" spans="1:15" x14ac:dyDescent="0.35">
      <c r="A12" s="74"/>
      <c r="B12" s="74"/>
      <c r="C12" s="74"/>
      <c r="D12" s="16" t="s">
        <v>60</v>
      </c>
      <c r="E12" s="17" t="s">
        <v>7</v>
      </c>
      <c r="F12" s="13">
        <v>61</v>
      </c>
      <c r="G12" s="13">
        <v>11</v>
      </c>
      <c r="H12" s="13">
        <v>2</v>
      </c>
      <c r="I12" s="13">
        <v>3</v>
      </c>
      <c r="J12" s="15"/>
    </row>
    <row r="13" spans="1:15" x14ac:dyDescent="0.35">
      <c r="A13" s="74"/>
      <c r="B13" s="74"/>
      <c r="C13" s="74"/>
      <c r="D13" s="16" t="s">
        <v>60</v>
      </c>
      <c r="E13" s="17" t="s">
        <v>8</v>
      </c>
      <c r="F13" s="13">
        <v>204</v>
      </c>
      <c r="G13" s="13">
        <v>49</v>
      </c>
      <c r="H13" s="13">
        <v>2</v>
      </c>
      <c r="I13" s="13">
        <v>9</v>
      </c>
      <c r="J13" s="15"/>
    </row>
    <row r="14" spans="1:15" x14ac:dyDescent="0.35">
      <c r="A14" s="74"/>
      <c r="B14" s="74"/>
      <c r="C14" s="74"/>
      <c r="D14" s="16" t="s">
        <v>60</v>
      </c>
      <c r="E14" s="17" t="s">
        <v>9</v>
      </c>
      <c r="F14" s="13">
        <v>165</v>
      </c>
      <c r="G14" s="13">
        <v>18</v>
      </c>
      <c r="H14" s="15"/>
      <c r="I14" s="13">
        <v>10</v>
      </c>
      <c r="J14" s="15"/>
    </row>
    <row r="15" spans="1:15" x14ac:dyDescent="0.35">
      <c r="A15" s="74"/>
      <c r="B15" s="74"/>
      <c r="C15" s="74"/>
      <c r="D15" s="16" t="s">
        <v>60</v>
      </c>
      <c r="E15" s="17" t="s">
        <v>11</v>
      </c>
      <c r="F15" s="13">
        <v>139</v>
      </c>
      <c r="G15" s="13">
        <v>83</v>
      </c>
      <c r="H15" s="13">
        <v>2</v>
      </c>
      <c r="I15" s="13">
        <v>72</v>
      </c>
      <c r="J15" s="15"/>
    </row>
    <row r="16" spans="1:15" x14ac:dyDescent="0.35">
      <c r="A16" s="74"/>
      <c r="B16" s="74"/>
      <c r="C16" s="74"/>
      <c r="D16" s="16" t="s">
        <v>60</v>
      </c>
      <c r="E16" s="17" t="s">
        <v>15</v>
      </c>
      <c r="F16" s="13"/>
      <c r="G16" s="13">
        <v>1</v>
      </c>
      <c r="H16" s="15"/>
      <c r="I16" s="15"/>
      <c r="J16" s="15"/>
      <c r="K16" s="2">
        <f>SUM(F5:F16)</f>
        <v>1128</v>
      </c>
      <c r="L16" s="2">
        <f t="shared" ref="L16:O16" si="0">SUM(G5:G16)</f>
        <v>475</v>
      </c>
      <c r="M16" s="2">
        <f t="shared" si="0"/>
        <v>54</v>
      </c>
      <c r="N16" s="2">
        <f t="shared" si="0"/>
        <v>123</v>
      </c>
      <c r="O16" s="2">
        <f t="shared" si="0"/>
        <v>2</v>
      </c>
    </row>
    <row r="17" spans="1:15" x14ac:dyDescent="0.35">
      <c r="A17" s="3" t="s">
        <v>353</v>
      </c>
      <c r="B17" s="3" t="s">
        <v>354</v>
      </c>
      <c r="C17" s="3">
        <v>1799</v>
      </c>
      <c r="D17" s="16" t="s">
        <v>61</v>
      </c>
      <c r="E17" s="17" t="s">
        <v>17</v>
      </c>
      <c r="F17" s="12">
        <v>46</v>
      </c>
      <c r="G17" s="12">
        <v>15</v>
      </c>
      <c r="H17" s="12">
        <v>2</v>
      </c>
      <c r="I17" s="12">
        <v>1</v>
      </c>
      <c r="J17" s="14"/>
    </row>
    <row r="18" spans="1:15" x14ac:dyDescent="0.35">
      <c r="A18" s="80"/>
      <c r="B18" s="80"/>
      <c r="C18" s="80"/>
      <c r="D18" s="16" t="s">
        <v>61</v>
      </c>
      <c r="E18" s="17" t="s">
        <v>2</v>
      </c>
      <c r="F18" s="12">
        <v>165</v>
      </c>
      <c r="G18" s="12">
        <v>29</v>
      </c>
      <c r="H18" s="14"/>
      <c r="I18" s="12">
        <v>2</v>
      </c>
      <c r="J18" s="14"/>
    </row>
    <row r="19" spans="1:15" x14ac:dyDescent="0.35">
      <c r="A19" s="80"/>
      <c r="B19" s="80"/>
      <c r="C19" s="80"/>
      <c r="D19" s="16" t="s">
        <v>61</v>
      </c>
      <c r="E19" s="17" t="s">
        <v>3</v>
      </c>
      <c r="F19" s="12">
        <v>176</v>
      </c>
      <c r="G19" s="12">
        <v>17</v>
      </c>
      <c r="H19" s="12">
        <v>5</v>
      </c>
      <c r="I19" s="12">
        <v>9</v>
      </c>
      <c r="J19" s="14"/>
    </row>
    <row r="20" spans="1:15" x14ac:dyDescent="0.35">
      <c r="A20" s="80"/>
      <c r="B20" s="80"/>
      <c r="C20" s="80"/>
      <c r="D20" s="16" t="s">
        <v>61</v>
      </c>
      <c r="E20" s="17" t="s">
        <v>4</v>
      </c>
      <c r="F20" s="12">
        <v>126</v>
      </c>
      <c r="G20" s="12">
        <v>15</v>
      </c>
      <c r="H20" s="12">
        <v>1</v>
      </c>
      <c r="I20" s="12">
        <v>7</v>
      </c>
      <c r="J20" s="12">
        <v>1</v>
      </c>
    </row>
    <row r="21" spans="1:15" x14ac:dyDescent="0.35">
      <c r="A21" s="80"/>
      <c r="B21" s="80"/>
      <c r="C21" s="80"/>
      <c r="D21" s="16" t="s">
        <v>61</v>
      </c>
      <c r="E21" s="17" t="s">
        <v>5</v>
      </c>
      <c r="F21" s="12">
        <v>96</v>
      </c>
      <c r="G21" s="12">
        <v>12</v>
      </c>
      <c r="H21" s="14"/>
      <c r="I21" s="12">
        <v>2</v>
      </c>
      <c r="J21" s="14"/>
      <c r="K21" s="2">
        <f>SUM(F17:F21)</f>
        <v>609</v>
      </c>
      <c r="L21" s="2">
        <f t="shared" ref="L21:O21" si="1">SUM(G17:G21)</f>
        <v>88</v>
      </c>
      <c r="M21" s="2">
        <f t="shared" si="1"/>
        <v>8</v>
      </c>
      <c r="N21" s="2">
        <f t="shared" si="1"/>
        <v>21</v>
      </c>
      <c r="O21" s="2">
        <f t="shared" si="1"/>
        <v>1</v>
      </c>
    </row>
    <row r="22" spans="1:15" x14ac:dyDescent="0.35">
      <c r="A22" s="6" t="s">
        <v>491</v>
      </c>
      <c r="B22" s="6" t="s">
        <v>492</v>
      </c>
      <c r="C22" s="6">
        <v>1517</v>
      </c>
      <c r="D22" s="16" t="s">
        <v>62</v>
      </c>
      <c r="E22" s="17" t="s">
        <v>17</v>
      </c>
      <c r="F22" s="13">
        <v>203</v>
      </c>
      <c r="G22" s="13">
        <v>23</v>
      </c>
      <c r="H22" s="13">
        <v>2</v>
      </c>
      <c r="I22" s="13">
        <v>9</v>
      </c>
      <c r="J22" s="15"/>
    </row>
    <row r="23" spans="1:15" x14ac:dyDescent="0.35">
      <c r="A23" s="74"/>
      <c r="B23" s="74"/>
      <c r="C23" s="74"/>
      <c r="D23" s="16" t="s">
        <v>62</v>
      </c>
      <c r="E23" s="17" t="s">
        <v>2</v>
      </c>
      <c r="F23" s="13">
        <v>140</v>
      </c>
      <c r="G23" s="13">
        <v>7</v>
      </c>
      <c r="H23" s="13">
        <v>4</v>
      </c>
      <c r="I23" s="13">
        <v>1</v>
      </c>
      <c r="J23" s="15"/>
    </row>
    <row r="24" spans="1:15" x14ac:dyDescent="0.35">
      <c r="A24" s="74"/>
      <c r="B24" s="74"/>
      <c r="C24" s="74"/>
      <c r="D24" s="16" t="s">
        <v>62</v>
      </c>
      <c r="E24" s="17" t="s">
        <v>3</v>
      </c>
      <c r="F24" s="13">
        <v>90</v>
      </c>
      <c r="G24" s="13">
        <v>11</v>
      </c>
      <c r="H24" s="15"/>
      <c r="I24" s="13">
        <v>2</v>
      </c>
      <c r="J24" s="15"/>
    </row>
    <row r="25" spans="1:15" x14ac:dyDescent="0.35">
      <c r="A25" s="74"/>
      <c r="B25" s="74"/>
      <c r="C25" s="74"/>
      <c r="D25" s="16" t="s">
        <v>62</v>
      </c>
      <c r="E25" s="17" t="s">
        <v>4</v>
      </c>
      <c r="F25" s="13">
        <v>62</v>
      </c>
      <c r="G25" s="13">
        <v>2</v>
      </c>
      <c r="H25" s="13">
        <v>2</v>
      </c>
      <c r="I25" s="13">
        <v>3</v>
      </c>
      <c r="J25" s="15"/>
    </row>
    <row r="26" spans="1:15" x14ac:dyDescent="0.35">
      <c r="A26" s="74"/>
      <c r="B26" s="74"/>
      <c r="C26" s="74"/>
      <c r="D26" s="16" t="s">
        <v>62</v>
      </c>
      <c r="E26" s="17" t="s">
        <v>5</v>
      </c>
      <c r="F26" s="13">
        <v>70</v>
      </c>
      <c r="G26" s="13">
        <v>2</v>
      </c>
      <c r="H26" s="15"/>
      <c r="I26" s="15"/>
      <c r="J26" s="15"/>
    </row>
    <row r="27" spans="1:15" x14ac:dyDescent="0.35">
      <c r="A27" s="74"/>
      <c r="B27" s="74"/>
      <c r="C27" s="74"/>
      <c r="D27" s="16" t="s">
        <v>62</v>
      </c>
      <c r="E27" s="17" t="s">
        <v>6</v>
      </c>
      <c r="F27" s="13">
        <v>121</v>
      </c>
      <c r="G27" s="13">
        <v>20</v>
      </c>
      <c r="H27" s="13">
        <v>1</v>
      </c>
      <c r="I27" s="13">
        <v>2</v>
      </c>
      <c r="J27" s="13">
        <v>1</v>
      </c>
    </row>
    <row r="28" spans="1:15" x14ac:dyDescent="0.35">
      <c r="A28" s="74"/>
      <c r="B28" s="74"/>
      <c r="C28" s="74"/>
      <c r="D28" s="16" t="s">
        <v>62</v>
      </c>
      <c r="E28" s="17" t="s">
        <v>7</v>
      </c>
      <c r="F28" s="13">
        <v>121</v>
      </c>
      <c r="G28" s="13">
        <v>43</v>
      </c>
      <c r="H28" s="13">
        <v>3</v>
      </c>
      <c r="I28" s="13">
        <v>6</v>
      </c>
      <c r="J28" s="15"/>
    </row>
    <row r="29" spans="1:15" x14ac:dyDescent="0.35">
      <c r="A29" s="74"/>
      <c r="B29" s="74"/>
      <c r="C29" s="74"/>
      <c r="D29" s="16" t="s">
        <v>62</v>
      </c>
      <c r="E29" s="17" t="s">
        <v>8</v>
      </c>
      <c r="F29" s="13">
        <v>47</v>
      </c>
      <c r="G29" s="13">
        <v>32</v>
      </c>
      <c r="H29" s="13">
        <v>10</v>
      </c>
      <c r="I29" s="13">
        <v>2</v>
      </c>
      <c r="J29" s="15"/>
      <c r="K29" s="2">
        <f>SUM(F22:F29)</f>
        <v>854</v>
      </c>
      <c r="L29" s="2">
        <f t="shared" ref="L29:O29" si="2">SUM(G22:G29)</f>
        <v>140</v>
      </c>
      <c r="M29" s="2">
        <f t="shared" si="2"/>
        <v>22</v>
      </c>
      <c r="N29" s="2">
        <f t="shared" si="2"/>
        <v>25</v>
      </c>
      <c r="O29" s="2">
        <f t="shared" si="2"/>
        <v>1</v>
      </c>
    </row>
    <row r="30" spans="1:15" x14ac:dyDescent="0.35">
      <c r="A30" s="3" t="s">
        <v>296</v>
      </c>
      <c r="B30" s="3" t="s">
        <v>297</v>
      </c>
      <c r="C30" s="3">
        <v>436</v>
      </c>
      <c r="D30" s="16" t="s">
        <v>63</v>
      </c>
      <c r="E30" s="17" t="s">
        <v>17</v>
      </c>
      <c r="F30" s="12">
        <v>96</v>
      </c>
      <c r="G30" s="12">
        <v>28</v>
      </c>
      <c r="H30" s="12">
        <v>14</v>
      </c>
      <c r="I30" s="12">
        <v>6</v>
      </c>
      <c r="J30" s="14"/>
    </row>
    <row r="31" spans="1:15" x14ac:dyDescent="0.35">
      <c r="A31" s="80"/>
      <c r="B31" s="80"/>
      <c r="C31" s="80"/>
      <c r="D31" s="16" t="s">
        <v>63</v>
      </c>
      <c r="E31" s="17" t="s">
        <v>2</v>
      </c>
      <c r="F31" s="12">
        <v>77</v>
      </c>
      <c r="G31" s="12">
        <v>29</v>
      </c>
      <c r="H31" s="12">
        <v>1</v>
      </c>
      <c r="I31" s="12">
        <v>5</v>
      </c>
      <c r="J31" s="14"/>
    </row>
    <row r="32" spans="1:15" x14ac:dyDescent="0.35">
      <c r="A32" s="80"/>
      <c r="B32" s="80"/>
      <c r="C32" s="80"/>
      <c r="D32" s="16" t="s">
        <v>63</v>
      </c>
      <c r="E32" s="17" t="s">
        <v>3</v>
      </c>
      <c r="F32" s="12">
        <v>63</v>
      </c>
      <c r="G32" s="12">
        <v>22</v>
      </c>
      <c r="H32" s="12">
        <v>1</v>
      </c>
      <c r="I32" s="12">
        <v>3</v>
      </c>
      <c r="J32" s="14"/>
      <c r="K32" s="2">
        <f>SUM(F30:F32)</f>
        <v>236</v>
      </c>
      <c r="L32" s="2">
        <f t="shared" ref="L32:O32" si="3">SUM(G30:G32)</f>
        <v>79</v>
      </c>
      <c r="M32" s="2">
        <f t="shared" si="3"/>
        <v>16</v>
      </c>
      <c r="N32" s="2">
        <f t="shared" si="3"/>
        <v>14</v>
      </c>
      <c r="O32" s="2">
        <f t="shared" si="3"/>
        <v>0</v>
      </c>
    </row>
    <row r="33" spans="1:15" x14ac:dyDescent="0.35">
      <c r="A33" s="6" t="s">
        <v>355</v>
      </c>
      <c r="B33" s="6" t="s">
        <v>356</v>
      </c>
      <c r="C33" s="6">
        <v>539</v>
      </c>
      <c r="D33" s="16" t="s">
        <v>64</v>
      </c>
      <c r="E33" s="17" t="s">
        <v>17</v>
      </c>
      <c r="F33" s="13">
        <v>39</v>
      </c>
      <c r="G33" s="13">
        <v>18</v>
      </c>
      <c r="H33" s="13">
        <v>7</v>
      </c>
      <c r="I33" s="13">
        <v>2</v>
      </c>
      <c r="J33" s="15"/>
    </row>
    <row r="34" spans="1:15" x14ac:dyDescent="0.35">
      <c r="A34" s="74"/>
      <c r="B34" s="74"/>
      <c r="C34" s="74"/>
      <c r="D34" s="16" t="s">
        <v>64</v>
      </c>
      <c r="E34" s="17" t="s">
        <v>2</v>
      </c>
      <c r="F34" s="13">
        <v>38</v>
      </c>
      <c r="G34" s="13">
        <v>23</v>
      </c>
      <c r="H34" s="13">
        <v>4</v>
      </c>
      <c r="I34" s="13">
        <v>5</v>
      </c>
      <c r="J34" s="15"/>
    </row>
    <row r="35" spans="1:15" x14ac:dyDescent="0.35">
      <c r="A35" s="74"/>
      <c r="B35" s="74"/>
      <c r="C35" s="74"/>
      <c r="D35" s="16" t="s">
        <v>64</v>
      </c>
      <c r="E35" s="17" t="s">
        <v>3</v>
      </c>
      <c r="F35" s="13">
        <v>88</v>
      </c>
      <c r="G35" s="13">
        <v>19</v>
      </c>
      <c r="H35" s="15"/>
      <c r="I35" s="13">
        <v>1</v>
      </c>
      <c r="J35" s="15"/>
    </row>
    <row r="36" spans="1:15" x14ac:dyDescent="0.35">
      <c r="A36" s="74"/>
      <c r="B36" s="74"/>
      <c r="C36" s="74"/>
      <c r="D36" s="16" t="s">
        <v>64</v>
      </c>
      <c r="E36" s="17" t="s">
        <v>4</v>
      </c>
      <c r="F36" s="13">
        <v>52</v>
      </c>
      <c r="G36" s="13">
        <v>20</v>
      </c>
      <c r="H36" s="13">
        <v>1</v>
      </c>
      <c r="I36" s="13">
        <v>4</v>
      </c>
      <c r="J36" s="15"/>
      <c r="K36" s="2">
        <f>SUM(F33:F36)</f>
        <v>217</v>
      </c>
      <c r="L36" s="2">
        <f t="shared" ref="L36:O36" si="4">SUM(G33:G36)</f>
        <v>80</v>
      </c>
      <c r="M36" s="2">
        <f t="shared" si="4"/>
        <v>12</v>
      </c>
      <c r="N36" s="2">
        <f t="shared" si="4"/>
        <v>12</v>
      </c>
      <c r="O36" s="2">
        <f t="shared" si="4"/>
        <v>0</v>
      </c>
    </row>
    <row r="37" spans="1:15" x14ac:dyDescent="0.35">
      <c r="A37" s="3" t="s">
        <v>357</v>
      </c>
      <c r="B37" s="3" t="s">
        <v>358</v>
      </c>
      <c r="C37" s="3">
        <v>812</v>
      </c>
      <c r="D37" s="16" t="s">
        <v>65</v>
      </c>
      <c r="E37" s="17" t="s">
        <v>17</v>
      </c>
      <c r="F37" s="12">
        <v>80</v>
      </c>
      <c r="G37" s="12">
        <v>38</v>
      </c>
      <c r="H37" s="12">
        <v>2</v>
      </c>
      <c r="I37" s="12">
        <v>4</v>
      </c>
      <c r="J37" s="14"/>
    </row>
    <row r="38" spans="1:15" x14ac:dyDescent="0.35">
      <c r="A38" s="80"/>
      <c r="B38" s="80"/>
      <c r="C38" s="80"/>
      <c r="D38" s="16" t="s">
        <v>65</v>
      </c>
      <c r="E38" s="17" t="s">
        <v>2</v>
      </c>
      <c r="F38" s="12">
        <v>73</v>
      </c>
      <c r="G38" s="12">
        <v>21</v>
      </c>
      <c r="H38" s="12">
        <v>1</v>
      </c>
      <c r="I38" s="12">
        <v>1</v>
      </c>
      <c r="J38" s="14"/>
    </row>
    <row r="39" spans="1:15" x14ac:dyDescent="0.35">
      <c r="A39" s="80"/>
      <c r="B39" s="80"/>
      <c r="C39" s="80"/>
      <c r="D39" s="16" t="s">
        <v>65</v>
      </c>
      <c r="E39" s="17" t="s">
        <v>3</v>
      </c>
      <c r="F39" s="12">
        <v>119</v>
      </c>
      <c r="G39" s="12">
        <v>44</v>
      </c>
      <c r="H39" s="12">
        <v>14</v>
      </c>
      <c r="I39" s="12">
        <v>17</v>
      </c>
      <c r="J39" s="14"/>
    </row>
    <row r="40" spans="1:15" x14ac:dyDescent="0.35">
      <c r="A40" s="80"/>
      <c r="B40" s="80"/>
      <c r="C40" s="80"/>
      <c r="D40" s="16" t="s">
        <v>65</v>
      </c>
      <c r="E40" s="17" t="s">
        <v>4</v>
      </c>
      <c r="F40" s="12">
        <v>131</v>
      </c>
      <c r="G40" s="12">
        <v>18</v>
      </c>
      <c r="H40" s="12">
        <v>1</v>
      </c>
      <c r="I40" s="12">
        <v>6</v>
      </c>
      <c r="J40" s="14"/>
    </row>
    <row r="41" spans="1:15" x14ac:dyDescent="0.35">
      <c r="A41" s="80"/>
      <c r="B41" s="80"/>
      <c r="C41" s="80"/>
      <c r="D41" s="16" t="s">
        <v>65</v>
      </c>
      <c r="E41" s="17" t="s">
        <v>5</v>
      </c>
      <c r="F41" s="12">
        <v>45</v>
      </c>
      <c r="G41" s="12">
        <v>6</v>
      </c>
      <c r="H41" s="12">
        <v>1</v>
      </c>
      <c r="I41" s="12">
        <v>2</v>
      </c>
      <c r="J41" s="14"/>
      <c r="K41" s="2">
        <f>SUM(F37:F41)</f>
        <v>448</v>
      </c>
      <c r="L41" s="2">
        <f t="shared" ref="L41:O41" si="5">SUM(G37:G41)</f>
        <v>127</v>
      </c>
      <c r="M41" s="2">
        <f t="shared" si="5"/>
        <v>19</v>
      </c>
      <c r="N41" s="2">
        <f t="shared" si="5"/>
        <v>30</v>
      </c>
      <c r="O41" s="2">
        <f t="shared" si="5"/>
        <v>0</v>
      </c>
    </row>
    <row r="42" spans="1:15" x14ac:dyDescent="0.35">
      <c r="A42" s="6" t="s">
        <v>298</v>
      </c>
      <c r="B42" s="6" t="s">
        <v>299</v>
      </c>
      <c r="C42" s="6">
        <v>481</v>
      </c>
      <c r="D42" s="16" t="s">
        <v>66</v>
      </c>
      <c r="E42" s="17" t="s">
        <v>17</v>
      </c>
      <c r="F42" s="13">
        <v>84</v>
      </c>
      <c r="G42" s="13">
        <v>28</v>
      </c>
      <c r="H42" s="13">
        <v>8</v>
      </c>
      <c r="I42" s="13">
        <v>2</v>
      </c>
      <c r="J42" s="15"/>
    </row>
    <row r="43" spans="1:15" x14ac:dyDescent="0.35">
      <c r="A43" s="74"/>
      <c r="B43" s="74"/>
      <c r="C43" s="74"/>
      <c r="D43" s="16" t="s">
        <v>66</v>
      </c>
      <c r="E43" s="17" t="s">
        <v>2</v>
      </c>
      <c r="F43" s="13">
        <v>33</v>
      </c>
      <c r="G43" s="13">
        <v>11</v>
      </c>
      <c r="H43" s="15"/>
      <c r="I43" s="13">
        <v>2</v>
      </c>
      <c r="J43" s="15"/>
    </row>
    <row r="44" spans="1:15" x14ac:dyDescent="0.35">
      <c r="A44" s="74"/>
      <c r="B44" s="74"/>
      <c r="C44" s="74"/>
      <c r="D44" s="16" t="s">
        <v>66</v>
      </c>
      <c r="E44" s="17" t="s">
        <v>3</v>
      </c>
      <c r="F44" s="13">
        <v>131</v>
      </c>
      <c r="G44" s="13">
        <v>18</v>
      </c>
      <c r="H44" s="13">
        <v>2</v>
      </c>
      <c r="I44" s="13">
        <v>4</v>
      </c>
      <c r="J44" s="15"/>
    </row>
    <row r="45" spans="1:15" x14ac:dyDescent="0.35">
      <c r="A45" s="74"/>
      <c r="B45" s="74"/>
      <c r="C45" s="74"/>
      <c r="D45" s="16" t="s">
        <v>66</v>
      </c>
      <c r="E45" s="17" t="s">
        <v>4</v>
      </c>
      <c r="F45" s="13">
        <v>44</v>
      </c>
      <c r="G45" s="13">
        <v>6</v>
      </c>
      <c r="H45" s="13">
        <v>5</v>
      </c>
      <c r="I45" s="13">
        <v>3</v>
      </c>
      <c r="J45" s="13">
        <v>1</v>
      </c>
      <c r="K45" s="2">
        <f>SUM(F42:F45)</f>
        <v>292</v>
      </c>
      <c r="L45" s="2">
        <f t="shared" ref="L45:O45" si="6">SUM(G42:G45)</f>
        <v>63</v>
      </c>
      <c r="M45" s="2">
        <f t="shared" si="6"/>
        <v>15</v>
      </c>
      <c r="N45" s="2">
        <f t="shared" si="6"/>
        <v>11</v>
      </c>
      <c r="O45" s="2">
        <f t="shared" si="6"/>
        <v>1</v>
      </c>
    </row>
    <row r="46" spans="1:15" x14ac:dyDescent="0.35">
      <c r="A46" s="3" t="s">
        <v>359</v>
      </c>
      <c r="B46" s="3" t="s">
        <v>360</v>
      </c>
      <c r="C46" s="3">
        <v>711</v>
      </c>
      <c r="D46" s="16" t="s">
        <v>67</v>
      </c>
      <c r="E46" s="17" t="s">
        <v>17</v>
      </c>
      <c r="F46" s="12">
        <v>52</v>
      </c>
      <c r="G46" s="12">
        <v>9</v>
      </c>
      <c r="H46" s="12">
        <v>5</v>
      </c>
      <c r="I46" s="12">
        <v>1</v>
      </c>
      <c r="J46" s="14"/>
    </row>
    <row r="47" spans="1:15" x14ac:dyDescent="0.35">
      <c r="A47" s="80"/>
      <c r="B47" s="80"/>
      <c r="C47" s="80"/>
      <c r="D47" s="16" t="s">
        <v>67</v>
      </c>
      <c r="E47" s="17" t="s">
        <v>2</v>
      </c>
      <c r="F47" s="12">
        <v>40</v>
      </c>
      <c r="G47" s="12">
        <v>4</v>
      </c>
      <c r="H47" s="14"/>
      <c r="I47" s="12">
        <v>4</v>
      </c>
      <c r="J47" s="14"/>
    </row>
    <row r="48" spans="1:15" x14ac:dyDescent="0.35">
      <c r="A48" s="80"/>
      <c r="B48" s="80"/>
      <c r="C48" s="80"/>
      <c r="D48" s="16" t="s">
        <v>67</v>
      </c>
      <c r="E48" s="17" t="s">
        <v>3</v>
      </c>
      <c r="F48" s="12">
        <v>61</v>
      </c>
      <c r="G48" s="12">
        <v>23</v>
      </c>
      <c r="H48" s="14"/>
      <c r="I48" s="12">
        <v>2</v>
      </c>
      <c r="J48" s="14"/>
    </row>
    <row r="49" spans="1:15" x14ac:dyDescent="0.35">
      <c r="A49" s="80"/>
      <c r="B49" s="80"/>
      <c r="C49" s="80"/>
      <c r="D49" s="16" t="s">
        <v>67</v>
      </c>
      <c r="E49" s="17" t="s">
        <v>4</v>
      </c>
      <c r="F49" s="12">
        <v>47</v>
      </c>
      <c r="G49" s="12">
        <v>18</v>
      </c>
      <c r="H49" s="14"/>
      <c r="I49" s="12">
        <v>2</v>
      </c>
      <c r="J49" s="14"/>
    </row>
    <row r="50" spans="1:15" x14ac:dyDescent="0.35">
      <c r="A50" s="80"/>
      <c r="B50" s="80"/>
      <c r="C50" s="80"/>
      <c r="D50" s="16" t="s">
        <v>67</v>
      </c>
      <c r="E50" s="17" t="s">
        <v>5</v>
      </c>
      <c r="F50" s="12">
        <v>115</v>
      </c>
      <c r="G50" s="12">
        <v>19</v>
      </c>
      <c r="H50" s="14"/>
      <c r="I50" s="12">
        <v>5</v>
      </c>
      <c r="J50" s="14"/>
      <c r="K50" s="2">
        <f>SUM(F46:F50)</f>
        <v>315</v>
      </c>
      <c r="L50" s="2">
        <f t="shared" ref="L50:O50" si="7">SUM(G46:G50)</f>
        <v>73</v>
      </c>
      <c r="M50" s="2">
        <f t="shared" si="7"/>
        <v>5</v>
      </c>
      <c r="N50" s="2">
        <f t="shared" si="7"/>
        <v>14</v>
      </c>
      <c r="O50" s="2">
        <f t="shared" si="7"/>
        <v>0</v>
      </c>
    </row>
    <row r="51" spans="1:15" x14ac:dyDescent="0.35">
      <c r="A51" s="6" t="s">
        <v>361</v>
      </c>
      <c r="B51" s="6" t="s">
        <v>362</v>
      </c>
      <c r="C51" s="6">
        <v>837</v>
      </c>
      <c r="D51" s="16" t="s">
        <v>68</v>
      </c>
      <c r="E51" s="17" t="s">
        <v>17</v>
      </c>
      <c r="F51" s="13">
        <v>62</v>
      </c>
      <c r="G51" s="13">
        <v>18</v>
      </c>
      <c r="H51" s="13">
        <v>3</v>
      </c>
      <c r="I51" s="13">
        <v>2</v>
      </c>
      <c r="J51" s="15"/>
    </row>
    <row r="52" spans="1:15" x14ac:dyDescent="0.35">
      <c r="A52" s="74"/>
      <c r="B52" s="74"/>
      <c r="C52" s="74"/>
      <c r="D52" s="16" t="s">
        <v>68</v>
      </c>
      <c r="E52" s="17" t="s">
        <v>2</v>
      </c>
      <c r="F52" s="13">
        <v>76</v>
      </c>
      <c r="G52" s="13">
        <v>19</v>
      </c>
      <c r="H52" s="13">
        <v>1</v>
      </c>
      <c r="I52" s="13">
        <v>2</v>
      </c>
      <c r="J52" s="15"/>
    </row>
    <row r="53" spans="1:15" x14ac:dyDescent="0.35">
      <c r="A53" s="74"/>
      <c r="B53" s="74"/>
      <c r="C53" s="74"/>
      <c r="D53" s="16" t="s">
        <v>68</v>
      </c>
      <c r="E53" s="17" t="s">
        <v>3</v>
      </c>
      <c r="F53" s="13">
        <v>100</v>
      </c>
      <c r="G53" s="13">
        <v>14</v>
      </c>
      <c r="H53" s="15"/>
      <c r="I53" s="13">
        <v>3</v>
      </c>
      <c r="J53" s="15"/>
    </row>
    <row r="54" spans="1:15" x14ac:dyDescent="0.35">
      <c r="A54" s="74"/>
      <c r="B54" s="74"/>
      <c r="C54" s="74"/>
      <c r="D54" s="16" t="s">
        <v>68</v>
      </c>
      <c r="E54" s="17" t="s">
        <v>4</v>
      </c>
      <c r="F54" s="13">
        <v>228</v>
      </c>
      <c r="G54" s="13">
        <v>26</v>
      </c>
      <c r="H54" s="13">
        <v>1</v>
      </c>
      <c r="I54" s="13">
        <v>8</v>
      </c>
      <c r="J54" s="13">
        <v>1</v>
      </c>
      <c r="K54" s="2">
        <f>SUM(F51:F54)</f>
        <v>466</v>
      </c>
      <c r="L54" s="2">
        <f t="shared" ref="L54:O54" si="8">SUM(G51:G54)</f>
        <v>77</v>
      </c>
      <c r="M54" s="2">
        <f t="shared" si="8"/>
        <v>5</v>
      </c>
      <c r="N54" s="2">
        <f t="shared" si="8"/>
        <v>15</v>
      </c>
      <c r="O54" s="2">
        <f t="shared" si="8"/>
        <v>1</v>
      </c>
    </row>
    <row r="55" spans="1:15" x14ac:dyDescent="0.35">
      <c r="A55" s="3" t="s">
        <v>300</v>
      </c>
      <c r="B55" s="3" t="s">
        <v>301</v>
      </c>
      <c r="C55" s="3">
        <v>996</v>
      </c>
      <c r="D55" s="16" t="s">
        <v>69</v>
      </c>
      <c r="E55" s="17" t="s">
        <v>17</v>
      </c>
      <c r="F55" s="12">
        <v>81</v>
      </c>
      <c r="G55" s="12">
        <v>8</v>
      </c>
      <c r="H55" s="12">
        <v>7</v>
      </c>
      <c r="I55" s="12">
        <v>1</v>
      </c>
      <c r="J55" s="14"/>
    </row>
    <row r="56" spans="1:15" x14ac:dyDescent="0.35">
      <c r="A56" s="80"/>
      <c r="B56" s="80"/>
      <c r="C56" s="80"/>
      <c r="D56" s="16" t="s">
        <v>69</v>
      </c>
      <c r="E56" s="17" t="s">
        <v>2</v>
      </c>
      <c r="F56" s="12">
        <v>64</v>
      </c>
      <c r="G56" s="12">
        <v>17</v>
      </c>
      <c r="H56" s="12">
        <v>6</v>
      </c>
      <c r="I56" s="12">
        <v>3</v>
      </c>
      <c r="J56" s="14"/>
    </row>
    <row r="57" spans="1:15" x14ac:dyDescent="0.35">
      <c r="A57" s="80"/>
      <c r="B57" s="80"/>
      <c r="C57" s="80"/>
      <c r="D57" s="16" t="s">
        <v>69</v>
      </c>
      <c r="E57" s="17" t="s">
        <v>3</v>
      </c>
      <c r="F57" s="12">
        <v>97</v>
      </c>
      <c r="G57" s="12">
        <v>29</v>
      </c>
      <c r="H57" s="14"/>
      <c r="I57" s="12">
        <v>3</v>
      </c>
      <c r="J57" s="14"/>
    </row>
    <row r="58" spans="1:15" x14ac:dyDescent="0.35">
      <c r="A58" s="80"/>
      <c r="B58" s="80"/>
      <c r="C58" s="80"/>
      <c r="D58" s="16" t="s">
        <v>69</v>
      </c>
      <c r="E58" s="17" t="s">
        <v>4</v>
      </c>
      <c r="F58" s="12">
        <v>102</v>
      </c>
      <c r="G58" s="12">
        <v>26</v>
      </c>
      <c r="H58" s="12">
        <v>5</v>
      </c>
      <c r="I58" s="12">
        <v>7</v>
      </c>
      <c r="J58" s="14"/>
    </row>
    <row r="59" spans="1:15" x14ac:dyDescent="0.35">
      <c r="A59" s="80"/>
      <c r="B59" s="80"/>
      <c r="C59" s="80"/>
      <c r="D59" s="16" t="s">
        <v>69</v>
      </c>
      <c r="E59" s="17" t="s">
        <v>5</v>
      </c>
      <c r="F59" s="12">
        <v>71</v>
      </c>
      <c r="G59" s="12">
        <v>31</v>
      </c>
      <c r="H59" s="12">
        <v>4</v>
      </c>
      <c r="I59" s="12">
        <v>5</v>
      </c>
      <c r="J59" s="12">
        <v>1</v>
      </c>
      <c r="K59" s="2">
        <f>SUM(F55:F59)</f>
        <v>415</v>
      </c>
      <c r="L59" s="2">
        <f t="shared" ref="L59:O59" si="9">SUM(G55:G59)</f>
        <v>111</v>
      </c>
      <c r="M59" s="2">
        <f t="shared" si="9"/>
        <v>22</v>
      </c>
      <c r="N59" s="2">
        <f t="shared" si="9"/>
        <v>19</v>
      </c>
      <c r="O59" s="2">
        <f t="shared" si="9"/>
        <v>1</v>
      </c>
    </row>
    <row r="60" spans="1:15" x14ac:dyDescent="0.35">
      <c r="A60" s="6" t="s">
        <v>302</v>
      </c>
      <c r="B60" s="6" t="s">
        <v>303</v>
      </c>
      <c r="C60" s="6">
        <v>1262</v>
      </c>
      <c r="D60" s="16" t="s">
        <v>70</v>
      </c>
      <c r="E60" s="17" t="s">
        <v>17</v>
      </c>
      <c r="F60" s="13">
        <v>34</v>
      </c>
      <c r="G60" s="13">
        <v>8</v>
      </c>
      <c r="H60" s="13">
        <v>1</v>
      </c>
      <c r="I60" s="13">
        <v>2</v>
      </c>
      <c r="J60" s="15"/>
    </row>
    <row r="61" spans="1:15" x14ac:dyDescent="0.35">
      <c r="A61" s="74"/>
      <c r="B61" s="74"/>
      <c r="C61" s="74"/>
      <c r="D61" s="16" t="s">
        <v>70</v>
      </c>
      <c r="E61" s="17" t="s">
        <v>2</v>
      </c>
      <c r="F61" s="13">
        <v>80</v>
      </c>
      <c r="G61" s="13">
        <v>11</v>
      </c>
      <c r="H61" s="13">
        <v>3</v>
      </c>
      <c r="I61" s="13">
        <v>6</v>
      </c>
      <c r="J61" s="15"/>
    </row>
    <row r="62" spans="1:15" x14ac:dyDescent="0.35">
      <c r="A62" s="74"/>
      <c r="B62" s="74"/>
      <c r="C62" s="74"/>
      <c r="D62" s="16" t="s">
        <v>70</v>
      </c>
      <c r="E62" s="17" t="s">
        <v>3</v>
      </c>
      <c r="F62" s="13">
        <v>66</v>
      </c>
      <c r="G62" s="13">
        <v>5</v>
      </c>
      <c r="H62" s="13">
        <v>1</v>
      </c>
      <c r="I62" s="13">
        <v>1</v>
      </c>
      <c r="J62" s="15"/>
    </row>
    <row r="63" spans="1:15" x14ac:dyDescent="0.35">
      <c r="A63" s="74"/>
      <c r="B63" s="74"/>
      <c r="C63" s="74"/>
      <c r="D63" s="16" t="s">
        <v>70</v>
      </c>
      <c r="E63" s="17" t="s">
        <v>4</v>
      </c>
      <c r="F63" s="13">
        <v>63</v>
      </c>
      <c r="G63" s="13">
        <v>16</v>
      </c>
      <c r="H63" s="13">
        <v>7</v>
      </c>
      <c r="I63" s="13">
        <v>5</v>
      </c>
      <c r="J63" s="15"/>
    </row>
    <row r="64" spans="1:15" x14ac:dyDescent="0.35">
      <c r="A64" s="74"/>
      <c r="B64" s="74"/>
      <c r="C64" s="74"/>
      <c r="D64" s="16" t="s">
        <v>70</v>
      </c>
      <c r="E64" s="17" t="s">
        <v>5</v>
      </c>
      <c r="F64" s="13">
        <v>20</v>
      </c>
      <c r="G64" s="13">
        <v>6</v>
      </c>
      <c r="H64" s="13">
        <v>1</v>
      </c>
      <c r="I64" s="13">
        <v>1</v>
      </c>
      <c r="J64" s="15"/>
    </row>
    <row r="65" spans="1:15" x14ac:dyDescent="0.35">
      <c r="A65" s="74"/>
      <c r="B65" s="74"/>
      <c r="C65" s="74"/>
      <c r="D65" s="16" t="s">
        <v>70</v>
      </c>
      <c r="E65" s="17" t="s">
        <v>6</v>
      </c>
      <c r="F65" s="13">
        <v>72</v>
      </c>
      <c r="G65" s="13">
        <v>11</v>
      </c>
      <c r="H65" s="13">
        <v>2</v>
      </c>
      <c r="I65" s="13">
        <v>4</v>
      </c>
      <c r="J65" s="13">
        <v>1</v>
      </c>
    </row>
    <row r="66" spans="1:15" x14ac:dyDescent="0.35">
      <c r="A66" s="74"/>
      <c r="B66" s="74"/>
      <c r="C66" s="74"/>
      <c r="D66" s="16" t="s">
        <v>70</v>
      </c>
      <c r="E66" s="17" t="s">
        <v>7</v>
      </c>
      <c r="F66" s="13">
        <v>34</v>
      </c>
      <c r="G66" s="13">
        <v>19</v>
      </c>
      <c r="H66" s="13">
        <v>1</v>
      </c>
      <c r="I66" s="13">
        <v>1</v>
      </c>
      <c r="J66" s="15"/>
    </row>
    <row r="67" spans="1:15" x14ac:dyDescent="0.35">
      <c r="A67" s="74"/>
      <c r="B67" s="74"/>
      <c r="C67" s="74"/>
      <c r="D67" s="16" t="s">
        <v>70</v>
      </c>
      <c r="E67" s="17" t="s">
        <v>8</v>
      </c>
      <c r="F67" s="13">
        <v>61</v>
      </c>
      <c r="G67" s="13">
        <v>14</v>
      </c>
      <c r="H67" s="15"/>
      <c r="I67" s="15"/>
      <c r="J67" s="15"/>
    </row>
    <row r="68" spans="1:15" x14ac:dyDescent="0.35">
      <c r="A68" s="74"/>
      <c r="B68" s="74"/>
      <c r="C68" s="74"/>
      <c r="D68" s="16" t="s">
        <v>70</v>
      </c>
      <c r="E68" s="17" t="s">
        <v>9</v>
      </c>
      <c r="F68" s="13">
        <v>107</v>
      </c>
      <c r="G68" s="13">
        <v>20</v>
      </c>
      <c r="H68" s="13">
        <v>3</v>
      </c>
      <c r="I68" s="13">
        <v>2</v>
      </c>
      <c r="J68" s="15"/>
      <c r="K68" s="2">
        <f>SUM(F60:F68)</f>
        <v>537</v>
      </c>
      <c r="L68" s="2">
        <f t="shared" ref="L68:O68" si="10">SUM(G60:G68)</f>
        <v>110</v>
      </c>
      <c r="M68" s="2">
        <f t="shared" si="10"/>
        <v>19</v>
      </c>
      <c r="N68" s="2">
        <f t="shared" si="10"/>
        <v>22</v>
      </c>
      <c r="O68" s="2">
        <f t="shared" si="10"/>
        <v>1</v>
      </c>
    </row>
    <row r="69" spans="1:15" x14ac:dyDescent="0.35">
      <c r="A69" s="3" t="s">
        <v>304</v>
      </c>
      <c r="B69" s="3" t="s">
        <v>305</v>
      </c>
      <c r="C69" s="3">
        <v>750</v>
      </c>
      <c r="D69" s="16" t="s">
        <v>71</v>
      </c>
      <c r="E69" s="17" t="s">
        <v>17</v>
      </c>
      <c r="F69" s="12">
        <v>53</v>
      </c>
      <c r="G69" s="12">
        <v>7</v>
      </c>
      <c r="H69" s="14"/>
      <c r="I69" s="12">
        <v>4</v>
      </c>
      <c r="J69" s="14"/>
    </row>
    <row r="70" spans="1:15" x14ac:dyDescent="0.35">
      <c r="A70" s="80"/>
      <c r="B70" s="80"/>
      <c r="C70" s="80"/>
      <c r="D70" s="16" t="s">
        <v>71</v>
      </c>
      <c r="E70" s="17" t="s">
        <v>2</v>
      </c>
      <c r="F70" s="12">
        <v>29</v>
      </c>
      <c r="G70" s="12">
        <v>8</v>
      </c>
      <c r="H70" s="14"/>
      <c r="I70" s="14"/>
      <c r="J70" s="14"/>
    </row>
    <row r="71" spans="1:15" x14ac:dyDescent="0.35">
      <c r="A71" s="80"/>
      <c r="B71" s="80"/>
      <c r="C71" s="80"/>
      <c r="D71" s="16" t="s">
        <v>71</v>
      </c>
      <c r="E71" s="17" t="s">
        <v>3</v>
      </c>
      <c r="F71" s="12">
        <v>30</v>
      </c>
      <c r="G71" s="12">
        <v>13</v>
      </c>
      <c r="H71" s="14"/>
      <c r="I71" s="12">
        <v>1</v>
      </c>
      <c r="J71" s="14"/>
    </row>
    <row r="72" spans="1:15" x14ac:dyDescent="0.35">
      <c r="A72" s="80"/>
      <c r="B72" s="80"/>
      <c r="C72" s="80"/>
      <c r="D72" s="16" t="s">
        <v>71</v>
      </c>
      <c r="E72" s="17" t="s">
        <v>4</v>
      </c>
      <c r="F72" s="12">
        <v>108</v>
      </c>
      <c r="G72" s="12">
        <v>22</v>
      </c>
      <c r="H72" s="12">
        <v>8</v>
      </c>
      <c r="I72" s="12">
        <v>2</v>
      </c>
      <c r="J72" s="12">
        <v>1</v>
      </c>
    </row>
    <row r="73" spans="1:15" x14ac:dyDescent="0.35">
      <c r="A73" s="80"/>
      <c r="B73" s="80"/>
      <c r="C73" s="80"/>
      <c r="D73" s="16" t="s">
        <v>71</v>
      </c>
      <c r="E73" s="17" t="s">
        <v>5</v>
      </c>
      <c r="F73" s="12">
        <v>55</v>
      </c>
      <c r="G73" s="12">
        <v>4</v>
      </c>
      <c r="H73" s="12">
        <v>1</v>
      </c>
      <c r="I73" s="14"/>
      <c r="J73" s="14"/>
      <c r="K73" s="2">
        <f>SUM(F69:F73)</f>
        <v>275</v>
      </c>
      <c r="L73" s="2">
        <f t="shared" ref="L73:O73" si="11">SUM(G69:G73)</f>
        <v>54</v>
      </c>
      <c r="M73" s="2">
        <f t="shared" si="11"/>
        <v>9</v>
      </c>
      <c r="N73" s="2">
        <f t="shared" si="11"/>
        <v>7</v>
      </c>
      <c r="O73" s="2">
        <f t="shared" si="11"/>
        <v>1</v>
      </c>
    </row>
    <row r="74" spans="1:15" x14ac:dyDescent="0.35">
      <c r="A74" s="6" t="s">
        <v>363</v>
      </c>
      <c r="B74" s="6" t="s">
        <v>364</v>
      </c>
      <c r="C74" s="6">
        <v>1057</v>
      </c>
      <c r="D74" s="16" t="s">
        <v>72</v>
      </c>
      <c r="E74" s="17" t="s">
        <v>17</v>
      </c>
      <c r="F74" s="13">
        <v>148</v>
      </c>
      <c r="G74" s="13">
        <v>24</v>
      </c>
      <c r="H74" s="13">
        <v>9</v>
      </c>
      <c r="I74" s="13">
        <v>1</v>
      </c>
      <c r="J74" s="15"/>
    </row>
    <row r="75" spans="1:15" x14ac:dyDescent="0.35">
      <c r="A75" s="74"/>
      <c r="B75" s="74"/>
      <c r="C75" s="74"/>
      <c r="D75" s="16" t="s">
        <v>72</v>
      </c>
      <c r="E75" s="17" t="s">
        <v>2</v>
      </c>
      <c r="F75" s="13">
        <v>138</v>
      </c>
      <c r="G75" s="13">
        <v>26</v>
      </c>
      <c r="H75" s="15"/>
      <c r="I75" s="13">
        <v>12</v>
      </c>
      <c r="J75" s="15"/>
    </row>
    <row r="76" spans="1:15" x14ac:dyDescent="0.35">
      <c r="A76" s="74"/>
      <c r="B76" s="74"/>
      <c r="C76" s="74"/>
      <c r="D76" s="16" t="s">
        <v>72</v>
      </c>
      <c r="E76" s="17" t="s">
        <v>3</v>
      </c>
      <c r="F76" s="13">
        <v>132</v>
      </c>
      <c r="G76" s="13">
        <v>12</v>
      </c>
      <c r="H76" s="13">
        <v>4</v>
      </c>
      <c r="I76" s="13">
        <v>5</v>
      </c>
      <c r="J76" s="15"/>
    </row>
    <row r="77" spans="1:15" x14ac:dyDescent="0.35">
      <c r="A77" s="74"/>
      <c r="B77" s="74"/>
      <c r="C77" s="74"/>
      <c r="D77" s="16" t="s">
        <v>72</v>
      </c>
      <c r="E77" s="17" t="s">
        <v>4</v>
      </c>
      <c r="F77" s="13">
        <v>137</v>
      </c>
      <c r="G77" s="13">
        <v>22</v>
      </c>
      <c r="H77" s="13">
        <v>2</v>
      </c>
      <c r="I77" s="13">
        <v>4</v>
      </c>
      <c r="J77" s="15"/>
      <c r="K77" s="2">
        <f>SUM(F74:F77)</f>
        <v>555</v>
      </c>
      <c r="L77" s="2">
        <f t="shared" ref="L77:O77" si="12">SUM(G74:G77)</f>
        <v>84</v>
      </c>
      <c r="M77" s="2">
        <f t="shared" si="12"/>
        <v>15</v>
      </c>
      <c r="N77" s="2">
        <f t="shared" si="12"/>
        <v>22</v>
      </c>
      <c r="O77" s="2">
        <f t="shared" si="12"/>
        <v>0</v>
      </c>
    </row>
    <row r="78" spans="1:15" x14ac:dyDescent="0.35">
      <c r="A78" s="3" t="s">
        <v>365</v>
      </c>
      <c r="B78" s="3" t="s">
        <v>366</v>
      </c>
      <c r="C78" s="3">
        <v>1397</v>
      </c>
      <c r="D78" s="16" t="s">
        <v>73</v>
      </c>
      <c r="E78" s="17" t="s">
        <v>17</v>
      </c>
      <c r="F78" s="12">
        <v>67</v>
      </c>
      <c r="G78" s="12">
        <v>8</v>
      </c>
      <c r="H78" s="14"/>
      <c r="I78" s="12">
        <v>1</v>
      </c>
      <c r="J78" s="14"/>
    </row>
    <row r="79" spans="1:15" x14ac:dyDescent="0.35">
      <c r="A79" s="80"/>
      <c r="B79" s="80"/>
      <c r="C79" s="80"/>
      <c r="D79" s="16" t="s">
        <v>73</v>
      </c>
      <c r="E79" s="17" t="s">
        <v>2</v>
      </c>
      <c r="F79" s="12">
        <v>38</v>
      </c>
      <c r="G79" s="12">
        <v>3</v>
      </c>
      <c r="H79" s="14"/>
      <c r="I79" s="12">
        <v>1</v>
      </c>
      <c r="J79" s="12">
        <v>1</v>
      </c>
    </row>
    <row r="80" spans="1:15" x14ac:dyDescent="0.35">
      <c r="A80" s="80"/>
      <c r="B80" s="80"/>
      <c r="C80" s="80"/>
      <c r="D80" s="16" t="s">
        <v>73</v>
      </c>
      <c r="E80" s="17" t="s">
        <v>3</v>
      </c>
      <c r="F80" s="12">
        <v>70</v>
      </c>
      <c r="G80" s="12">
        <v>12</v>
      </c>
      <c r="H80" s="14"/>
      <c r="I80" s="12">
        <v>1</v>
      </c>
      <c r="J80" s="14"/>
    </row>
    <row r="81" spans="1:15" x14ac:dyDescent="0.35">
      <c r="A81" s="80"/>
      <c r="B81" s="80"/>
      <c r="C81" s="80"/>
      <c r="D81" s="16" t="s">
        <v>73</v>
      </c>
      <c r="E81" s="17" t="s">
        <v>4</v>
      </c>
      <c r="F81" s="12">
        <v>84</v>
      </c>
      <c r="G81" s="12">
        <v>5</v>
      </c>
      <c r="H81" s="14"/>
      <c r="I81" s="12">
        <v>5</v>
      </c>
      <c r="J81" s="14"/>
    </row>
    <row r="82" spans="1:15" x14ac:dyDescent="0.35">
      <c r="A82" s="80"/>
      <c r="B82" s="80"/>
      <c r="C82" s="80"/>
      <c r="D82" s="16" t="s">
        <v>73</v>
      </c>
      <c r="E82" s="17" t="s">
        <v>5</v>
      </c>
      <c r="F82" s="12">
        <v>105</v>
      </c>
      <c r="G82" s="12">
        <v>3</v>
      </c>
      <c r="H82" s="14"/>
      <c r="I82" s="14"/>
      <c r="J82" s="14"/>
    </row>
    <row r="83" spans="1:15" x14ac:dyDescent="0.35">
      <c r="A83" s="80"/>
      <c r="B83" s="80"/>
      <c r="C83" s="80"/>
      <c r="D83" s="16" t="s">
        <v>73</v>
      </c>
      <c r="E83" s="17" t="s">
        <v>6</v>
      </c>
      <c r="F83" s="12">
        <v>98</v>
      </c>
      <c r="G83" s="12">
        <v>12</v>
      </c>
      <c r="H83" s="14"/>
      <c r="I83" s="12">
        <v>2</v>
      </c>
      <c r="J83" s="14"/>
    </row>
    <row r="84" spans="1:15" x14ac:dyDescent="0.35">
      <c r="A84" s="80"/>
      <c r="B84" s="80"/>
      <c r="C84" s="80"/>
      <c r="D84" s="16" t="s">
        <v>73</v>
      </c>
      <c r="E84" s="17" t="s">
        <v>7</v>
      </c>
      <c r="F84" s="12">
        <v>30</v>
      </c>
      <c r="G84" s="12">
        <v>3</v>
      </c>
      <c r="H84" s="14"/>
      <c r="I84" s="14"/>
      <c r="J84" s="14"/>
    </row>
    <row r="85" spans="1:15" x14ac:dyDescent="0.35">
      <c r="A85" s="80"/>
      <c r="B85" s="80"/>
      <c r="C85" s="80"/>
      <c r="D85" s="16" t="s">
        <v>73</v>
      </c>
      <c r="E85" s="17" t="s">
        <v>8</v>
      </c>
      <c r="F85" s="12">
        <v>77</v>
      </c>
      <c r="G85" s="12">
        <v>16</v>
      </c>
      <c r="H85" s="14"/>
      <c r="I85" s="14"/>
      <c r="J85" s="14"/>
      <c r="K85" s="2">
        <f>SUM(F78:F85)</f>
        <v>569</v>
      </c>
      <c r="L85" s="2">
        <f t="shared" ref="L85:O85" si="13">SUM(G78:G85)</f>
        <v>62</v>
      </c>
      <c r="M85" s="2">
        <f t="shared" si="13"/>
        <v>0</v>
      </c>
      <c r="N85" s="2">
        <f t="shared" si="13"/>
        <v>10</v>
      </c>
      <c r="O85" s="2">
        <f t="shared" si="13"/>
        <v>1</v>
      </c>
    </row>
    <row r="86" spans="1:15" x14ac:dyDescent="0.35">
      <c r="A86" s="6" t="s">
        <v>367</v>
      </c>
      <c r="B86" s="6" t="s">
        <v>368</v>
      </c>
      <c r="C86" s="6">
        <v>1485</v>
      </c>
      <c r="D86" s="16" t="s">
        <v>74</v>
      </c>
      <c r="E86" s="17" t="s">
        <v>17</v>
      </c>
      <c r="F86" s="13">
        <v>124</v>
      </c>
      <c r="G86" s="13">
        <v>15</v>
      </c>
      <c r="H86" s="15"/>
      <c r="I86" s="13">
        <v>3</v>
      </c>
      <c r="J86" s="15"/>
    </row>
    <row r="87" spans="1:15" x14ac:dyDescent="0.35">
      <c r="A87" s="74"/>
      <c r="B87" s="74"/>
      <c r="C87" s="74"/>
      <c r="D87" s="16" t="s">
        <v>74</v>
      </c>
      <c r="E87" s="17" t="s">
        <v>2</v>
      </c>
      <c r="F87" s="13">
        <v>110</v>
      </c>
      <c r="G87" s="13">
        <v>7</v>
      </c>
      <c r="H87" s="15"/>
      <c r="I87" s="13">
        <v>2</v>
      </c>
      <c r="J87" s="15"/>
    </row>
    <row r="88" spans="1:15" x14ac:dyDescent="0.35">
      <c r="A88" s="74"/>
      <c r="B88" s="74"/>
      <c r="C88" s="74"/>
      <c r="D88" s="16" t="s">
        <v>74</v>
      </c>
      <c r="E88" s="17" t="s">
        <v>3</v>
      </c>
      <c r="F88" s="13">
        <v>91</v>
      </c>
      <c r="G88" s="13">
        <v>12</v>
      </c>
      <c r="H88" s="13">
        <v>1</v>
      </c>
      <c r="I88" s="13">
        <v>2</v>
      </c>
      <c r="J88" s="15"/>
    </row>
    <row r="89" spans="1:15" x14ac:dyDescent="0.35">
      <c r="A89" s="74"/>
      <c r="B89" s="74"/>
      <c r="C89" s="74"/>
      <c r="D89" s="16" t="s">
        <v>74</v>
      </c>
      <c r="E89" s="17" t="s">
        <v>4</v>
      </c>
      <c r="F89" s="13">
        <v>70</v>
      </c>
      <c r="G89" s="13">
        <v>9</v>
      </c>
      <c r="H89" s="13">
        <v>1</v>
      </c>
      <c r="I89" s="13">
        <v>4</v>
      </c>
      <c r="J89" s="15"/>
    </row>
    <row r="90" spans="1:15" x14ac:dyDescent="0.35">
      <c r="A90" s="74"/>
      <c r="B90" s="74"/>
      <c r="C90" s="74"/>
      <c r="D90" s="16" t="s">
        <v>74</v>
      </c>
      <c r="E90" s="17" t="s">
        <v>5</v>
      </c>
      <c r="F90" s="13">
        <v>31</v>
      </c>
      <c r="G90" s="13">
        <v>6</v>
      </c>
      <c r="H90" s="15"/>
      <c r="I90" s="13">
        <v>1</v>
      </c>
      <c r="J90" s="15"/>
    </row>
    <row r="91" spans="1:15" x14ac:dyDescent="0.35">
      <c r="A91" s="74"/>
      <c r="B91" s="74"/>
      <c r="C91" s="74"/>
      <c r="D91" s="16" t="s">
        <v>74</v>
      </c>
      <c r="E91" s="17" t="s">
        <v>6</v>
      </c>
      <c r="F91" s="13">
        <v>39</v>
      </c>
      <c r="G91" s="13">
        <v>17</v>
      </c>
      <c r="H91" s="15"/>
      <c r="I91" s="13">
        <v>1</v>
      </c>
      <c r="J91" s="15"/>
      <c r="K91" s="2">
        <f>SUM(F86:F91)</f>
        <v>465</v>
      </c>
      <c r="L91" s="2">
        <f t="shared" ref="L91:O91" si="14">SUM(G86:G91)</f>
        <v>66</v>
      </c>
      <c r="M91" s="2">
        <f t="shared" si="14"/>
        <v>2</v>
      </c>
      <c r="N91" s="2">
        <f t="shared" si="14"/>
        <v>13</v>
      </c>
      <c r="O91" s="2">
        <f t="shared" si="14"/>
        <v>0</v>
      </c>
    </row>
    <row r="92" spans="1:15" x14ac:dyDescent="0.35">
      <c r="A92" s="3" t="s">
        <v>369</v>
      </c>
      <c r="B92" s="3" t="s">
        <v>370</v>
      </c>
      <c r="C92" s="3">
        <v>2840</v>
      </c>
      <c r="D92" s="16" t="s">
        <v>75</v>
      </c>
      <c r="E92" s="17" t="s">
        <v>17</v>
      </c>
      <c r="F92" s="12">
        <v>137</v>
      </c>
      <c r="G92" s="12">
        <v>13</v>
      </c>
      <c r="H92" s="14"/>
      <c r="I92" s="12">
        <v>11</v>
      </c>
      <c r="J92" s="12">
        <v>1</v>
      </c>
    </row>
    <row r="93" spans="1:15" x14ac:dyDescent="0.35">
      <c r="A93" s="80"/>
      <c r="B93" s="80"/>
      <c r="C93" s="80"/>
      <c r="D93" s="16" t="s">
        <v>75</v>
      </c>
      <c r="E93" s="17" t="s">
        <v>2</v>
      </c>
      <c r="F93" s="12">
        <v>98</v>
      </c>
      <c r="G93" s="12">
        <v>21</v>
      </c>
      <c r="H93" s="12">
        <v>3</v>
      </c>
      <c r="I93" s="12">
        <v>9</v>
      </c>
      <c r="J93" s="14"/>
    </row>
    <row r="94" spans="1:15" x14ac:dyDescent="0.35">
      <c r="A94" s="80"/>
      <c r="B94" s="80"/>
      <c r="C94" s="80"/>
      <c r="D94" s="16" t="s">
        <v>75</v>
      </c>
      <c r="E94" s="17" t="s">
        <v>3</v>
      </c>
      <c r="F94" s="12">
        <v>193</v>
      </c>
      <c r="G94" s="12">
        <v>11</v>
      </c>
      <c r="H94" s="12">
        <v>1</v>
      </c>
      <c r="I94" s="12">
        <v>7</v>
      </c>
      <c r="J94" s="14"/>
    </row>
    <row r="95" spans="1:15" x14ac:dyDescent="0.35">
      <c r="A95" s="80"/>
      <c r="B95" s="80"/>
      <c r="C95" s="80"/>
      <c r="D95" s="16" t="s">
        <v>75</v>
      </c>
      <c r="E95" s="17" t="s">
        <v>4</v>
      </c>
      <c r="F95" s="12">
        <v>33</v>
      </c>
      <c r="G95" s="12">
        <v>10</v>
      </c>
      <c r="H95" s="12">
        <v>4</v>
      </c>
      <c r="I95" s="12">
        <v>1</v>
      </c>
      <c r="J95" s="14"/>
    </row>
    <row r="96" spans="1:15" x14ac:dyDescent="0.35">
      <c r="A96" s="80"/>
      <c r="B96" s="80"/>
      <c r="C96" s="80"/>
      <c r="D96" s="16" t="s">
        <v>75</v>
      </c>
      <c r="E96" s="17" t="s">
        <v>5</v>
      </c>
      <c r="F96" s="12">
        <v>48</v>
      </c>
      <c r="G96" s="12">
        <v>16</v>
      </c>
      <c r="H96" s="14"/>
      <c r="I96" s="14"/>
      <c r="J96" s="14"/>
    </row>
    <row r="97" spans="1:15" x14ac:dyDescent="0.35">
      <c r="A97" s="80"/>
      <c r="B97" s="80"/>
      <c r="C97" s="80"/>
      <c r="D97" s="16" t="s">
        <v>75</v>
      </c>
      <c r="E97" s="17" t="s">
        <v>6</v>
      </c>
      <c r="F97" s="12">
        <v>146</v>
      </c>
      <c r="G97" s="12">
        <v>11</v>
      </c>
      <c r="H97" s="12">
        <v>6</v>
      </c>
      <c r="I97" s="12">
        <v>6</v>
      </c>
      <c r="J97" s="12">
        <v>1</v>
      </c>
    </row>
    <row r="98" spans="1:15" x14ac:dyDescent="0.35">
      <c r="A98" s="80"/>
      <c r="B98" s="80"/>
      <c r="C98" s="80"/>
      <c r="D98" s="16" t="s">
        <v>75</v>
      </c>
      <c r="E98" s="17" t="s">
        <v>7</v>
      </c>
      <c r="F98" s="12">
        <v>115</v>
      </c>
      <c r="G98" s="12">
        <v>66</v>
      </c>
      <c r="H98" s="12">
        <v>1</v>
      </c>
      <c r="I98" s="12">
        <v>12</v>
      </c>
      <c r="J98" s="14"/>
    </row>
    <row r="99" spans="1:15" x14ac:dyDescent="0.35">
      <c r="A99" s="80"/>
      <c r="B99" s="80"/>
      <c r="C99" s="80"/>
      <c r="D99" s="16" t="s">
        <v>75</v>
      </c>
      <c r="E99" s="17" t="s">
        <v>8</v>
      </c>
      <c r="F99" s="12">
        <v>108</v>
      </c>
      <c r="G99" s="12">
        <v>20</v>
      </c>
      <c r="H99" s="12">
        <v>3</v>
      </c>
      <c r="I99" s="12">
        <v>2</v>
      </c>
      <c r="J99" s="14"/>
    </row>
    <row r="100" spans="1:15" x14ac:dyDescent="0.35">
      <c r="A100" s="80"/>
      <c r="B100" s="80"/>
      <c r="C100" s="80"/>
      <c r="D100" s="16" t="s">
        <v>75</v>
      </c>
      <c r="E100" s="17" t="s">
        <v>9</v>
      </c>
      <c r="F100" s="12">
        <v>97</v>
      </c>
      <c r="G100" s="12">
        <v>38</v>
      </c>
      <c r="H100" s="14"/>
      <c r="I100" s="12">
        <v>3</v>
      </c>
      <c r="J100" s="14"/>
    </row>
    <row r="101" spans="1:15" x14ac:dyDescent="0.35">
      <c r="A101" s="80"/>
      <c r="B101" s="80"/>
      <c r="C101" s="80"/>
      <c r="D101" s="16" t="s">
        <v>75</v>
      </c>
      <c r="E101" s="17" t="s">
        <v>11</v>
      </c>
      <c r="F101" s="12">
        <v>85</v>
      </c>
      <c r="G101" s="12">
        <v>36</v>
      </c>
      <c r="H101" s="12">
        <v>2</v>
      </c>
      <c r="I101" s="12">
        <v>4</v>
      </c>
      <c r="J101" s="14"/>
    </row>
    <row r="102" spans="1:15" x14ac:dyDescent="0.35">
      <c r="A102" s="80"/>
      <c r="B102" s="80"/>
      <c r="C102" s="80"/>
      <c r="D102" s="16" t="s">
        <v>75</v>
      </c>
      <c r="E102" s="17" t="s">
        <v>12</v>
      </c>
      <c r="F102" s="12">
        <v>85</v>
      </c>
      <c r="G102" s="12">
        <v>55</v>
      </c>
      <c r="H102" s="12">
        <v>3</v>
      </c>
      <c r="I102" s="12">
        <v>15</v>
      </c>
      <c r="J102" s="14"/>
    </row>
    <row r="103" spans="1:15" x14ac:dyDescent="0.35">
      <c r="A103" s="80"/>
      <c r="B103" s="80"/>
      <c r="C103" s="80"/>
      <c r="D103" s="16" t="s">
        <v>75</v>
      </c>
      <c r="E103" s="17" t="s">
        <v>13</v>
      </c>
      <c r="F103" s="12">
        <v>22</v>
      </c>
      <c r="G103" s="12">
        <v>14</v>
      </c>
      <c r="H103" s="14"/>
      <c r="I103" s="12">
        <v>1</v>
      </c>
      <c r="J103" s="12">
        <v>1</v>
      </c>
    </row>
    <row r="104" spans="1:15" x14ac:dyDescent="0.35">
      <c r="A104" s="80"/>
      <c r="B104" s="80"/>
      <c r="C104" s="80"/>
      <c r="D104" s="16" t="s">
        <v>75</v>
      </c>
      <c r="E104" s="17" t="s">
        <v>21</v>
      </c>
      <c r="F104" s="12">
        <v>44</v>
      </c>
      <c r="G104" s="12">
        <v>24</v>
      </c>
      <c r="H104" s="14"/>
      <c r="I104" s="12">
        <v>4</v>
      </c>
      <c r="J104" s="14"/>
      <c r="K104" s="2">
        <f>SUM(F92:F104)</f>
        <v>1211</v>
      </c>
      <c r="L104" s="2">
        <f t="shared" ref="L104:O104" si="15">SUM(G92:G104)</f>
        <v>335</v>
      </c>
      <c r="M104" s="2">
        <f t="shared" si="15"/>
        <v>23</v>
      </c>
      <c r="N104" s="2">
        <f t="shared" si="15"/>
        <v>75</v>
      </c>
      <c r="O104" s="2">
        <f t="shared" si="15"/>
        <v>3</v>
      </c>
    </row>
    <row r="105" spans="1:15" x14ac:dyDescent="0.35">
      <c r="A105" s="6" t="s">
        <v>371</v>
      </c>
      <c r="B105" s="6" t="s">
        <v>372</v>
      </c>
      <c r="C105" s="6">
        <v>1827</v>
      </c>
      <c r="D105" s="16" t="s">
        <v>76</v>
      </c>
      <c r="E105" s="17" t="s">
        <v>17</v>
      </c>
      <c r="F105" s="13">
        <v>144</v>
      </c>
      <c r="G105" s="13">
        <v>32</v>
      </c>
      <c r="H105" s="13">
        <v>2</v>
      </c>
      <c r="I105" s="13">
        <v>16</v>
      </c>
      <c r="J105" s="13">
        <v>1</v>
      </c>
    </row>
    <row r="106" spans="1:15" x14ac:dyDescent="0.35">
      <c r="A106" s="74"/>
      <c r="B106" s="74"/>
      <c r="C106" s="74"/>
      <c r="D106" s="16" t="s">
        <v>76</v>
      </c>
      <c r="E106" s="17" t="s">
        <v>2</v>
      </c>
      <c r="F106" s="13">
        <v>101</v>
      </c>
      <c r="G106" s="13">
        <v>74</v>
      </c>
      <c r="H106" s="13">
        <v>4</v>
      </c>
      <c r="I106" s="13">
        <v>9</v>
      </c>
      <c r="J106" s="15"/>
    </row>
    <row r="107" spans="1:15" x14ac:dyDescent="0.35">
      <c r="A107" s="74"/>
      <c r="B107" s="74"/>
      <c r="C107" s="74"/>
      <c r="D107" s="16" t="s">
        <v>76</v>
      </c>
      <c r="E107" s="17" t="s">
        <v>3</v>
      </c>
      <c r="F107" s="13">
        <v>111</v>
      </c>
      <c r="G107" s="13">
        <v>46</v>
      </c>
      <c r="H107" s="13">
        <v>1</v>
      </c>
      <c r="I107" s="13">
        <v>6</v>
      </c>
      <c r="J107" s="15"/>
    </row>
    <row r="108" spans="1:15" x14ac:dyDescent="0.35">
      <c r="A108" s="74"/>
      <c r="B108" s="74"/>
      <c r="C108" s="74"/>
      <c r="D108" s="16" t="s">
        <v>76</v>
      </c>
      <c r="E108" s="17" t="s">
        <v>4</v>
      </c>
      <c r="F108" s="13">
        <v>93</v>
      </c>
      <c r="G108" s="13">
        <v>30</v>
      </c>
      <c r="H108" s="13">
        <v>4</v>
      </c>
      <c r="I108" s="13">
        <v>5</v>
      </c>
      <c r="J108" s="15"/>
    </row>
    <row r="109" spans="1:15" x14ac:dyDescent="0.35">
      <c r="A109" s="74"/>
      <c r="B109" s="74"/>
      <c r="C109" s="74"/>
      <c r="D109" s="16" t="s">
        <v>76</v>
      </c>
      <c r="E109" s="17" t="s">
        <v>5</v>
      </c>
      <c r="F109" s="13">
        <v>166</v>
      </c>
      <c r="G109" s="13">
        <v>30</v>
      </c>
      <c r="H109" s="13">
        <v>2</v>
      </c>
      <c r="I109" s="13">
        <v>8</v>
      </c>
      <c r="J109" s="15"/>
    </row>
    <row r="110" spans="1:15" x14ac:dyDescent="0.35">
      <c r="A110" s="74"/>
      <c r="B110" s="74"/>
      <c r="C110" s="74"/>
      <c r="D110" s="16" t="s">
        <v>76</v>
      </c>
      <c r="E110" s="17" t="s">
        <v>6</v>
      </c>
      <c r="F110" s="13">
        <v>117</v>
      </c>
      <c r="G110" s="13">
        <v>49</v>
      </c>
      <c r="H110" s="13">
        <v>3</v>
      </c>
      <c r="I110" s="13">
        <v>3</v>
      </c>
      <c r="J110" s="15"/>
    </row>
    <row r="111" spans="1:15" x14ac:dyDescent="0.35">
      <c r="A111" s="74"/>
      <c r="B111" s="74"/>
      <c r="C111" s="74"/>
      <c r="D111" s="16" t="s">
        <v>76</v>
      </c>
      <c r="E111" s="17" t="s">
        <v>7</v>
      </c>
      <c r="F111" s="13">
        <v>34</v>
      </c>
      <c r="G111" s="13">
        <v>27</v>
      </c>
      <c r="H111" s="13">
        <v>3</v>
      </c>
      <c r="I111" s="13">
        <v>3</v>
      </c>
      <c r="J111" s="13">
        <v>1</v>
      </c>
    </row>
    <row r="112" spans="1:15" x14ac:dyDescent="0.35">
      <c r="A112" s="74"/>
      <c r="B112" s="74"/>
      <c r="C112" s="74"/>
      <c r="D112" s="16" t="s">
        <v>76</v>
      </c>
      <c r="E112" s="17" t="s">
        <v>8</v>
      </c>
      <c r="F112" s="13">
        <v>84</v>
      </c>
      <c r="G112" s="13">
        <v>48</v>
      </c>
      <c r="H112" s="15"/>
      <c r="I112" s="13">
        <v>5</v>
      </c>
      <c r="J112" s="15"/>
      <c r="K112" s="2">
        <f>SUM(F105:F112)</f>
        <v>850</v>
      </c>
      <c r="L112" s="2">
        <f t="shared" ref="L112:O112" si="16">SUM(G105:G112)</f>
        <v>336</v>
      </c>
      <c r="M112" s="2">
        <f t="shared" si="16"/>
        <v>19</v>
      </c>
      <c r="N112" s="2">
        <f t="shared" si="16"/>
        <v>55</v>
      </c>
      <c r="O112" s="2">
        <f t="shared" si="16"/>
        <v>2</v>
      </c>
    </row>
    <row r="113" spans="1:15" x14ac:dyDescent="0.35">
      <c r="A113" s="3" t="s">
        <v>373</v>
      </c>
      <c r="B113" s="3" t="s">
        <v>285</v>
      </c>
      <c r="C113" s="3">
        <v>877</v>
      </c>
      <c r="D113" s="16" t="s">
        <v>31</v>
      </c>
      <c r="E113" s="17" t="s">
        <v>17</v>
      </c>
      <c r="F113" s="12">
        <v>59</v>
      </c>
      <c r="G113" s="12">
        <v>22</v>
      </c>
      <c r="H113" s="14"/>
      <c r="I113" s="14"/>
      <c r="J113" s="14"/>
    </row>
    <row r="114" spans="1:15" x14ac:dyDescent="0.35">
      <c r="A114" s="80"/>
      <c r="B114" s="80"/>
      <c r="C114" s="80"/>
      <c r="D114" s="16" t="s">
        <v>31</v>
      </c>
      <c r="E114" s="17" t="s">
        <v>2</v>
      </c>
      <c r="F114" s="12">
        <v>109</v>
      </c>
      <c r="G114" s="12">
        <v>26</v>
      </c>
      <c r="H114" s="12">
        <v>3</v>
      </c>
      <c r="I114" s="12">
        <v>3</v>
      </c>
      <c r="J114" s="14"/>
    </row>
    <row r="115" spans="1:15" x14ac:dyDescent="0.35">
      <c r="A115" s="80"/>
      <c r="B115" s="80"/>
      <c r="C115" s="80"/>
      <c r="D115" s="16" t="s">
        <v>31</v>
      </c>
      <c r="E115" s="17" t="s">
        <v>3</v>
      </c>
      <c r="F115" s="12">
        <v>60</v>
      </c>
      <c r="G115" s="12">
        <v>16</v>
      </c>
      <c r="H115" s="12">
        <v>3</v>
      </c>
      <c r="I115" s="12">
        <v>1</v>
      </c>
      <c r="J115" s="12">
        <v>1</v>
      </c>
    </row>
    <row r="116" spans="1:15" x14ac:dyDescent="0.35">
      <c r="A116" s="80"/>
      <c r="B116" s="80"/>
      <c r="C116" s="80"/>
      <c r="D116" s="16" t="s">
        <v>31</v>
      </c>
      <c r="E116" s="17" t="s">
        <v>4</v>
      </c>
      <c r="F116" s="12">
        <v>24</v>
      </c>
      <c r="G116" s="12">
        <v>5</v>
      </c>
      <c r="H116" s="14"/>
      <c r="I116" s="12">
        <v>1</v>
      </c>
      <c r="J116" s="14"/>
    </row>
    <row r="117" spans="1:15" x14ac:dyDescent="0.35">
      <c r="A117" s="80"/>
      <c r="B117" s="80"/>
      <c r="C117" s="80"/>
      <c r="D117" s="16" t="s">
        <v>31</v>
      </c>
      <c r="E117" s="17" t="s">
        <v>5</v>
      </c>
      <c r="F117" s="12">
        <v>52</v>
      </c>
      <c r="G117" s="12">
        <v>16</v>
      </c>
      <c r="H117" s="14"/>
      <c r="I117" s="12">
        <v>2</v>
      </c>
      <c r="J117" s="14"/>
    </row>
    <row r="118" spans="1:15" x14ac:dyDescent="0.35">
      <c r="A118" s="80"/>
      <c r="B118" s="80"/>
      <c r="C118" s="80"/>
      <c r="D118" s="16" t="s">
        <v>31</v>
      </c>
      <c r="E118" s="17" t="s">
        <v>6</v>
      </c>
      <c r="F118" s="12">
        <v>80</v>
      </c>
      <c r="G118" s="12">
        <v>6</v>
      </c>
      <c r="H118" s="12">
        <v>2</v>
      </c>
      <c r="I118" s="12">
        <v>3</v>
      </c>
      <c r="J118" s="14"/>
      <c r="K118" s="2">
        <f>SUM(F113:F118)</f>
        <v>384</v>
      </c>
      <c r="L118" s="2">
        <f t="shared" ref="L118:O118" si="17">SUM(G113:G118)</f>
        <v>91</v>
      </c>
      <c r="M118" s="2">
        <f t="shared" si="17"/>
        <v>8</v>
      </c>
      <c r="N118" s="2">
        <f t="shared" si="17"/>
        <v>10</v>
      </c>
      <c r="O118" s="2">
        <f t="shared" si="17"/>
        <v>1</v>
      </c>
    </row>
    <row r="119" spans="1:15" x14ac:dyDescent="0.35">
      <c r="A119" s="6" t="s">
        <v>493</v>
      </c>
      <c r="B119" s="6" t="s">
        <v>494</v>
      </c>
      <c r="C119" s="6">
        <v>1224</v>
      </c>
      <c r="D119" s="16" t="s">
        <v>77</v>
      </c>
      <c r="E119" s="17" t="s">
        <v>0</v>
      </c>
      <c r="F119" s="13"/>
      <c r="G119" s="13"/>
      <c r="H119" s="13"/>
      <c r="I119" s="13">
        <v>1</v>
      </c>
      <c r="J119" s="15"/>
    </row>
    <row r="120" spans="1:15" x14ac:dyDescent="0.35">
      <c r="A120" s="74"/>
      <c r="B120" s="74"/>
      <c r="C120" s="74"/>
      <c r="D120" s="16" t="s">
        <v>77</v>
      </c>
      <c r="E120" s="17" t="s">
        <v>17</v>
      </c>
      <c r="F120" s="13">
        <v>118</v>
      </c>
      <c r="G120" s="15"/>
      <c r="H120" s="15"/>
      <c r="I120" s="13">
        <v>2</v>
      </c>
      <c r="J120" s="15"/>
    </row>
    <row r="121" spans="1:15" x14ac:dyDescent="0.35">
      <c r="A121" s="74"/>
      <c r="B121" s="74"/>
      <c r="C121" s="74"/>
      <c r="D121" s="16" t="s">
        <v>77</v>
      </c>
      <c r="E121" s="17" t="s">
        <v>2</v>
      </c>
      <c r="F121" s="13">
        <v>90</v>
      </c>
      <c r="G121" s="13">
        <v>7</v>
      </c>
      <c r="H121" s="13">
        <v>2</v>
      </c>
      <c r="I121" s="13">
        <v>1</v>
      </c>
      <c r="J121" s="15"/>
    </row>
    <row r="122" spans="1:15" x14ac:dyDescent="0.35">
      <c r="A122" s="74"/>
      <c r="B122" s="74"/>
      <c r="C122" s="74"/>
      <c r="D122" s="16" t="s">
        <v>77</v>
      </c>
      <c r="E122" s="17" t="s">
        <v>3</v>
      </c>
      <c r="F122" s="13">
        <v>110</v>
      </c>
      <c r="G122" s="13">
        <v>5</v>
      </c>
      <c r="H122" s="13">
        <v>1</v>
      </c>
      <c r="I122" s="13">
        <v>2</v>
      </c>
      <c r="J122" s="15"/>
    </row>
    <row r="123" spans="1:15" x14ac:dyDescent="0.35">
      <c r="A123" s="74"/>
      <c r="B123" s="74"/>
      <c r="C123" s="74"/>
      <c r="D123" s="16" t="s">
        <v>77</v>
      </c>
      <c r="E123" s="17" t="s">
        <v>4</v>
      </c>
      <c r="F123" s="13">
        <v>266</v>
      </c>
      <c r="G123" s="13">
        <v>29</v>
      </c>
      <c r="H123" s="13">
        <v>7</v>
      </c>
      <c r="I123" s="13">
        <v>8</v>
      </c>
      <c r="J123" s="15"/>
    </row>
    <row r="124" spans="1:15" x14ac:dyDescent="0.35">
      <c r="A124" s="74"/>
      <c r="B124" s="74"/>
      <c r="C124" s="74"/>
      <c r="D124" s="16" t="s">
        <v>77</v>
      </c>
      <c r="E124" s="17" t="s">
        <v>5</v>
      </c>
      <c r="F124" s="13">
        <v>198</v>
      </c>
      <c r="G124" s="13">
        <v>21</v>
      </c>
      <c r="H124" s="13">
        <v>16</v>
      </c>
      <c r="I124" s="13">
        <v>5</v>
      </c>
      <c r="J124" s="15"/>
      <c r="K124" s="2">
        <f>SUM(F119:F124)</f>
        <v>782</v>
      </c>
      <c r="L124" s="2">
        <f t="shared" ref="L124:O124" si="18">SUM(G119:G124)</f>
        <v>62</v>
      </c>
      <c r="M124" s="2">
        <f t="shared" si="18"/>
        <v>26</v>
      </c>
      <c r="N124" s="2">
        <f t="shared" si="18"/>
        <v>19</v>
      </c>
      <c r="O124" s="2">
        <f t="shared" si="18"/>
        <v>0</v>
      </c>
    </row>
    <row r="125" spans="1:15" x14ac:dyDescent="0.35">
      <c r="A125" s="3" t="s">
        <v>495</v>
      </c>
      <c r="B125" s="3" t="s">
        <v>496</v>
      </c>
      <c r="C125" s="3">
        <v>1403</v>
      </c>
      <c r="D125" s="16" t="s">
        <v>78</v>
      </c>
      <c r="E125" s="17" t="s">
        <v>17</v>
      </c>
      <c r="F125" s="12">
        <v>248</v>
      </c>
      <c r="G125" s="12">
        <v>30</v>
      </c>
      <c r="H125" s="12">
        <v>17</v>
      </c>
      <c r="I125" s="12">
        <v>10</v>
      </c>
      <c r="J125" s="14"/>
    </row>
    <row r="126" spans="1:15" x14ac:dyDescent="0.35">
      <c r="A126" s="3" t="s">
        <v>497</v>
      </c>
      <c r="B126" s="3" t="s">
        <v>498</v>
      </c>
      <c r="C126" s="3">
        <v>1539</v>
      </c>
      <c r="D126" s="16" t="s">
        <v>78</v>
      </c>
      <c r="E126" s="17" t="s">
        <v>2</v>
      </c>
      <c r="F126" s="12">
        <v>401</v>
      </c>
      <c r="G126" s="12">
        <v>26</v>
      </c>
      <c r="H126" s="12">
        <v>16</v>
      </c>
      <c r="I126" s="12">
        <v>13</v>
      </c>
      <c r="J126" s="14"/>
    </row>
    <row r="127" spans="1:15" x14ac:dyDescent="0.35">
      <c r="A127" s="80"/>
      <c r="B127" s="80"/>
      <c r="C127" s="80"/>
      <c r="D127" s="16" t="s">
        <v>78</v>
      </c>
      <c r="E127" s="17" t="s">
        <v>3</v>
      </c>
      <c r="F127" s="12">
        <v>276</v>
      </c>
      <c r="G127" s="12">
        <v>147</v>
      </c>
      <c r="H127" s="12">
        <v>24</v>
      </c>
      <c r="I127" s="12">
        <v>23</v>
      </c>
      <c r="J127" s="14"/>
    </row>
    <row r="128" spans="1:15" x14ac:dyDescent="0.35">
      <c r="A128" s="80"/>
      <c r="B128" s="80"/>
      <c r="C128" s="80"/>
      <c r="D128" s="16" t="s">
        <v>78</v>
      </c>
      <c r="E128" s="17" t="s">
        <v>4</v>
      </c>
      <c r="F128" s="12">
        <v>302</v>
      </c>
      <c r="G128" s="12">
        <v>57</v>
      </c>
      <c r="H128" s="12">
        <v>6</v>
      </c>
      <c r="I128" s="12">
        <v>8</v>
      </c>
      <c r="J128" s="14"/>
      <c r="K128" s="2">
        <f>SUM(F125:F128)</f>
        <v>1227</v>
      </c>
      <c r="L128" s="2">
        <f t="shared" ref="L128:O128" si="19">SUM(G125:G128)</f>
        <v>260</v>
      </c>
      <c r="M128" s="2">
        <f t="shared" si="19"/>
        <v>63</v>
      </c>
      <c r="N128" s="2">
        <f t="shared" si="19"/>
        <v>54</v>
      </c>
      <c r="O128" s="2">
        <f t="shared" si="19"/>
        <v>0</v>
      </c>
    </row>
    <row r="129" spans="1:15" x14ac:dyDescent="0.35">
      <c r="A129" s="6" t="s">
        <v>499</v>
      </c>
      <c r="B129" s="6" t="s">
        <v>500</v>
      </c>
      <c r="C129" s="6">
        <v>731</v>
      </c>
      <c r="D129" s="16" t="s">
        <v>79</v>
      </c>
      <c r="E129" s="17" t="s">
        <v>17</v>
      </c>
      <c r="F129" s="13">
        <v>203</v>
      </c>
      <c r="G129" s="13">
        <v>48</v>
      </c>
      <c r="H129" s="15"/>
      <c r="I129" s="13">
        <v>7</v>
      </c>
      <c r="J129" s="15"/>
    </row>
    <row r="130" spans="1:15" x14ac:dyDescent="0.35">
      <c r="A130" s="74"/>
      <c r="B130" s="74"/>
      <c r="C130" s="74"/>
      <c r="D130" s="16" t="s">
        <v>79</v>
      </c>
      <c r="E130" s="17" t="s">
        <v>2</v>
      </c>
      <c r="F130" s="13">
        <v>63</v>
      </c>
      <c r="G130" s="13">
        <v>32</v>
      </c>
      <c r="H130" s="15"/>
      <c r="I130" s="13">
        <v>5</v>
      </c>
      <c r="J130" s="15"/>
    </row>
    <row r="131" spans="1:15" x14ac:dyDescent="0.35">
      <c r="A131" s="74"/>
      <c r="B131" s="74"/>
      <c r="C131" s="74"/>
      <c r="D131" s="16" t="s">
        <v>79</v>
      </c>
      <c r="E131" s="17" t="s">
        <v>3</v>
      </c>
      <c r="F131" s="13">
        <v>131</v>
      </c>
      <c r="G131" s="13">
        <v>22</v>
      </c>
      <c r="H131" s="13">
        <v>5</v>
      </c>
      <c r="I131" s="13">
        <v>6</v>
      </c>
      <c r="J131" s="15"/>
    </row>
    <row r="132" spans="1:15" x14ac:dyDescent="0.35">
      <c r="A132" s="74"/>
      <c r="B132" s="74"/>
      <c r="C132" s="74"/>
      <c r="D132" s="16" t="s">
        <v>79</v>
      </c>
      <c r="E132" s="17" t="s">
        <v>4</v>
      </c>
      <c r="F132" s="13">
        <v>88</v>
      </c>
      <c r="G132" s="13">
        <v>26</v>
      </c>
      <c r="H132" s="13">
        <v>4</v>
      </c>
      <c r="I132" s="13">
        <v>1</v>
      </c>
      <c r="J132" s="15"/>
      <c r="K132" s="2">
        <f>SUM(F129:F132)</f>
        <v>485</v>
      </c>
      <c r="L132" s="2">
        <f t="shared" ref="L132:O132" si="20">SUM(G129:G132)</f>
        <v>128</v>
      </c>
      <c r="M132" s="2">
        <f t="shared" si="20"/>
        <v>9</v>
      </c>
      <c r="N132" s="2">
        <f t="shared" si="20"/>
        <v>19</v>
      </c>
      <c r="O132" s="2">
        <f t="shared" si="20"/>
        <v>0</v>
      </c>
    </row>
    <row r="133" spans="1:15" x14ac:dyDescent="0.35">
      <c r="A133" s="3" t="s">
        <v>501</v>
      </c>
      <c r="B133" s="3" t="s">
        <v>502</v>
      </c>
      <c r="C133" s="3">
        <v>856</v>
      </c>
      <c r="D133" s="16" t="s">
        <v>80</v>
      </c>
      <c r="E133" s="17" t="s">
        <v>17</v>
      </c>
      <c r="F133" s="12">
        <v>98</v>
      </c>
      <c r="G133" s="12">
        <v>19</v>
      </c>
      <c r="H133" s="14"/>
      <c r="I133" s="12">
        <v>8</v>
      </c>
      <c r="J133" s="14"/>
    </row>
    <row r="134" spans="1:15" x14ac:dyDescent="0.35">
      <c r="A134" s="80"/>
      <c r="B134" s="80"/>
      <c r="C134" s="80"/>
      <c r="D134" s="16" t="s">
        <v>80</v>
      </c>
      <c r="E134" s="17" t="s">
        <v>2</v>
      </c>
      <c r="F134" s="12">
        <v>129</v>
      </c>
      <c r="G134" s="12">
        <v>16</v>
      </c>
      <c r="H134" s="12">
        <v>6</v>
      </c>
      <c r="I134" s="12">
        <v>5</v>
      </c>
      <c r="J134" s="14"/>
    </row>
    <row r="135" spans="1:15" x14ac:dyDescent="0.35">
      <c r="A135" s="80"/>
      <c r="B135" s="80"/>
      <c r="C135" s="80"/>
      <c r="D135" s="16" t="s">
        <v>80</v>
      </c>
      <c r="E135" s="17" t="s">
        <v>3</v>
      </c>
      <c r="F135" s="12">
        <v>174</v>
      </c>
      <c r="G135" s="12">
        <v>31</v>
      </c>
      <c r="H135" s="12">
        <v>5</v>
      </c>
      <c r="I135" s="12">
        <v>6</v>
      </c>
      <c r="J135" s="14"/>
    </row>
    <row r="136" spans="1:15" x14ac:dyDescent="0.35">
      <c r="A136" s="80"/>
      <c r="B136" s="80"/>
      <c r="C136" s="80"/>
      <c r="D136" s="16" t="s">
        <v>80</v>
      </c>
      <c r="E136" s="17" t="s">
        <v>4</v>
      </c>
      <c r="F136" s="12">
        <v>121</v>
      </c>
      <c r="G136" s="12">
        <v>24</v>
      </c>
      <c r="H136" s="14"/>
      <c r="I136" s="12">
        <v>6</v>
      </c>
      <c r="J136" s="14"/>
      <c r="K136" s="2">
        <f>SUM(F133:F136)</f>
        <v>522</v>
      </c>
      <c r="L136" s="2">
        <f t="shared" ref="L136:O136" si="21">SUM(G133:G136)</f>
        <v>90</v>
      </c>
      <c r="M136" s="2">
        <f t="shared" si="21"/>
        <v>11</v>
      </c>
      <c r="N136" s="2">
        <f t="shared" si="21"/>
        <v>25</v>
      </c>
      <c r="O136" s="2">
        <f t="shared" si="21"/>
        <v>0</v>
      </c>
    </row>
    <row r="137" spans="1:15" x14ac:dyDescent="0.35">
      <c r="A137" s="6" t="s">
        <v>374</v>
      </c>
      <c r="B137" s="6" t="s">
        <v>375</v>
      </c>
      <c r="C137" s="6">
        <v>1516</v>
      </c>
      <c r="D137" s="16" t="s">
        <v>81</v>
      </c>
      <c r="E137" s="17" t="s">
        <v>17</v>
      </c>
      <c r="F137" s="13">
        <v>74</v>
      </c>
      <c r="G137" s="13">
        <v>33</v>
      </c>
      <c r="H137" s="13">
        <v>2</v>
      </c>
      <c r="I137" s="13">
        <v>3</v>
      </c>
      <c r="J137" s="15"/>
    </row>
    <row r="138" spans="1:15" x14ac:dyDescent="0.35">
      <c r="A138" s="74"/>
      <c r="B138" s="74"/>
      <c r="C138" s="74"/>
      <c r="D138" s="16" t="s">
        <v>81</v>
      </c>
      <c r="E138" s="17" t="s">
        <v>2</v>
      </c>
      <c r="F138" s="13">
        <v>33</v>
      </c>
      <c r="G138" s="13">
        <v>20</v>
      </c>
      <c r="H138" s="15"/>
      <c r="I138" s="15"/>
      <c r="J138" s="15"/>
    </row>
    <row r="139" spans="1:15" x14ac:dyDescent="0.35">
      <c r="A139" s="74"/>
      <c r="B139" s="74"/>
      <c r="C139" s="74"/>
      <c r="D139" s="16" t="s">
        <v>81</v>
      </c>
      <c r="E139" s="17" t="s">
        <v>3</v>
      </c>
      <c r="F139" s="13">
        <v>138</v>
      </c>
      <c r="G139" s="13">
        <v>36</v>
      </c>
      <c r="H139" s="13">
        <v>3</v>
      </c>
      <c r="I139" s="13">
        <v>6</v>
      </c>
      <c r="J139" s="15"/>
    </row>
    <row r="140" spans="1:15" x14ac:dyDescent="0.35">
      <c r="A140" s="74"/>
      <c r="B140" s="74"/>
      <c r="C140" s="74"/>
      <c r="D140" s="16" t="s">
        <v>81</v>
      </c>
      <c r="E140" s="17" t="s">
        <v>4</v>
      </c>
      <c r="F140" s="13">
        <v>104</v>
      </c>
      <c r="G140" s="13">
        <v>76</v>
      </c>
      <c r="H140" s="13">
        <v>13</v>
      </c>
      <c r="I140" s="13">
        <v>5</v>
      </c>
      <c r="J140" s="15"/>
    </row>
    <row r="141" spans="1:15" x14ac:dyDescent="0.35">
      <c r="A141" s="74"/>
      <c r="B141" s="74"/>
      <c r="C141" s="74"/>
      <c r="D141" s="16" t="s">
        <v>81</v>
      </c>
      <c r="E141" s="17" t="s">
        <v>5</v>
      </c>
      <c r="F141" s="13">
        <v>63</v>
      </c>
      <c r="G141" s="13">
        <v>6</v>
      </c>
      <c r="H141" s="15"/>
      <c r="I141" s="15"/>
      <c r="J141" s="13">
        <v>1</v>
      </c>
    </row>
    <row r="142" spans="1:15" x14ac:dyDescent="0.35">
      <c r="A142" s="74"/>
      <c r="B142" s="74"/>
      <c r="C142" s="74"/>
      <c r="D142" s="16" t="s">
        <v>81</v>
      </c>
      <c r="E142" s="17" t="s">
        <v>6</v>
      </c>
      <c r="F142" s="13">
        <v>120</v>
      </c>
      <c r="G142" s="13">
        <v>23</v>
      </c>
      <c r="H142" s="13">
        <v>3</v>
      </c>
      <c r="I142" s="13">
        <v>1</v>
      </c>
      <c r="J142" s="13">
        <v>1</v>
      </c>
    </row>
    <row r="143" spans="1:15" x14ac:dyDescent="0.35">
      <c r="A143" s="74"/>
      <c r="B143" s="74"/>
      <c r="C143" s="74"/>
      <c r="D143" s="16" t="s">
        <v>81</v>
      </c>
      <c r="E143" s="17" t="s">
        <v>7</v>
      </c>
      <c r="F143" s="13">
        <v>91</v>
      </c>
      <c r="G143" s="13">
        <v>21</v>
      </c>
      <c r="H143" s="13"/>
      <c r="I143" s="13">
        <v>1</v>
      </c>
      <c r="J143" s="15"/>
      <c r="K143" s="2">
        <f>SUM(F137:F143)</f>
        <v>623</v>
      </c>
      <c r="L143" s="2">
        <f t="shared" ref="L143:O143" si="22">SUM(G137:G143)</f>
        <v>215</v>
      </c>
      <c r="M143" s="2">
        <f t="shared" si="22"/>
        <v>21</v>
      </c>
      <c r="N143" s="2">
        <f t="shared" si="22"/>
        <v>16</v>
      </c>
      <c r="O143" s="2">
        <f t="shared" si="22"/>
        <v>2</v>
      </c>
    </row>
    <row r="144" spans="1:15" x14ac:dyDescent="0.35">
      <c r="A144" s="81"/>
      <c r="B144" s="81" t="s">
        <v>723</v>
      </c>
      <c r="C144" s="81">
        <f>SUM(C5:C138)</f>
        <v>30221</v>
      </c>
      <c r="D144" s="303" t="s">
        <v>231</v>
      </c>
      <c r="E144" s="303"/>
      <c r="F144" s="20">
        <f>SUM(F5:F143)</f>
        <v>13465</v>
      </c>
      <c r="G144" s="20">
        <f>SUM(G5:G143)</f>
        <v>3206</v>
      </c>
      <c r="H144" s="20">
        <f>SUM(H5:H143)</f>
        <v>403</v>
      </c>
      <c r="I144" s="20">
        <f>SUM(I5:I143)</f>
        <v>631</v>
      </c>
      <c r="J144" s="20">
        <f>SUM(J5:J143)</f>
        <v>18</v>
      </c>
    </row>
    <row r="145" spans="2:3" x14ac:dyDescent="0.35">
      <c r="B145" s="18" t="s">
        <v>728</v>
      </c>
      <c r="C145" s="82">
        <f>SUM(C144,F144,G144,H144,I144,J144)</f>
        <v>47944</v>
      </c>
    </row>
  </sheetData>
  <mergeCells count="6">
    <mergeCell ref="A2:C2"/>
    <mergeCell ref="D2:J2"/>
    <mergeCell ref="D144:E144"/>
    <mergeCell ref="F3:J3"/>
    <mergeCell ref="A1:C1"/>
    <mergeCell ref="D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opLeftCell="A8" zoomScale="90" zoomScaleNormal="90" workbookViewId="0">
      <selection activeCell="C123" sqref="C123"/>
    </sheetView>
  </sheetViews>
  <sheetFormatPr defaultRowHeight="21" x14ac:dyDescent="0.35"/>
  <cols>
    <col min="1" max="1" width="14.28515625" style="2" customWidth="1"/>
    <col min="2" max="2" width="29.5703125" style="2" customWidth="1"/>
    <col min="3" max="3" width="16.85546875" style="2" customWidth="1"/>
    <col min="4" max="4" width="14.7109375" style="2" customWidth="1"/>
    <col min="5" max="5" width="9.140625" style="22"/>
    <col min="6" max="6" width="15.5703125" style="22" customWidth="1"/>
    <col min="7" max="7" width="14.28515625" style="22" customWidth="1"/>
    <col min="8" max="8" width="9.140625" style="22"/>
    <col min="9" max="9" width="21.140625" style="22" customWidth="1"/>
    <col min="10" max="10" width="15" style="22" customWidth="1"/>
    <col min="11" max="16384" width="9.140625" style="2"/>
  </cols>
  <sheetData>
    <row r="1" spans="1:15" x14ac:dyDescent="0.35">
      <c r="A1" s="302" t="s">
        <v>729</v>
      </c>
      <c r="B1" s="302"/>
      <c r="C1" s="302"/>
      <c r="D1" s="298" t="s">
        <v>248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D3" s="44"/>
      <c r="E3" s="44"/>
      <c r="F3" s="303" t="s">
        <v>718</v>
      </c>
      <c r="G3" s="303"/>
      <c r="H3" s="303"/>
      <c r="I3" s="303"/>
      <c r="J3" s="303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240</v>
      </c>
      <c r="J4" s="19" t="s">
        <v>221</v>
      </c>
    </row>
    <row r="5" spans="1:15" x14ac:dyDescent="0.35">
      <c r="A5" s="9" t="s">
        <v>505</v>
      </c>
      <c r="B5" s="9" t="s">
        <v>506</v>
      </c>
      <c r="C5" s="9">
        <v>528</v>
      </c>
      <c r="D5" s="16" t="s">
        <v>82</v>
      </c>
      <c r="E5" s="17" t="s">
        <v>17</v>
      </c>
      <c r="F5" s="13">
        <v>112</v>
      </c>
      <c r="G5" s="13">
        <v>45</v>
      </c>
      <c r="H5" s="15">
        <v>1</v>
      </c>
      <c r="I5" s="13">
        <v>7</v>
      </c>
      <c r="J5" s="15"/>
    </row>
    <row r="6" spans="1:15" x14ac:dyDescent="0.35">
      <c r="A6" s="74"/>
      <c r="B6" s="74"/>
      <c r="C6" s="74"/>
      <c r="D6" s="16" t="s">
        <v>82</v>
      </c>
      <c r="E6" s="17" t="s">
        <v>2</v>
      </c>
      <c r="F6" s="13">
        <v>51</v>
      </c>
      <c r="G6" s="13">
        <v>16</v>
      </c>
      <c r="H6" s="13">
        <v>10</v>
      </c>
      <c r="I6" s="13">
        <v>3</v>
      </c>
      <c r="J6" s="15"/>
    </row>
    <row r="7" spans="1:15" x14ac:dyDescent="0.35">
      <c r="A7" s="74"/>
      <c r="B7" s="74"/>
      <c r="C7" s="74"/>
      <c r="D7" s="16" t="s">
        <v>82</v>
      </c>
      <c r="E7" s="17" t="s">
        <v>3</v>
      </c>
      <c r="F7" s="13">
        <v>51</v>
      </c>
      <c r="G7" s="13">
        <v>34</v>
      </c>
      <c r="H7" s="15"/>
      <c r="I7" s="13">
        <v>4</v>
      </c>
      <c r="J7" s="15"/>
    </row>
    <row r="8" spans="1:15" x14ac:dyDescent="0.35">
      <c r="A8" s="74"/>
      <c r="B8" s="74"/>
      <c r="C8" s="74"/>
      <c r="D8" s="16" t="s">
        <v>82</v>
      </c>
      <c r="E8" s="17" t="s">
        <v>4</v>
      </c>
      <c r="F8" s="13">
        <v>36</v>
      </c>
      <c r="G8" s="13">
        <v>20</v>
      </c>
      <c r="H8" s="15"/>
      <c r="I8" s="13">
        <v>2</v>
      </c>
      <c r="J8" s="15"/>
    </row>
    <row r="9" spans="1:15" x14ac:dyDescent="0.35">
      <c r="A9" s="74"/>
      <c r="B9" s="74"/>
      <c r="C9" s="74"/>
      <c r="D9" s="16" t="s">
        <v>82</v>
      </c>
      <c r="E9" s="17" t="s">
        <v>5</v>
      </c>
      <c r="F9" s="13">
        <v>48</v>
      </c>
      <c r="G9" s="13">
        <v>23</v>
      </c>
      <c r="H9" s="15"/>
      <c r="I9" s="13">
        <v>3</v>
      </c>
      <c r="J9" s="13">
        <v>1</v>
      </c>
      <c r="K9" s="2">
        <f>SUM(F5:F9)</f>
        <v>298</v>
      </c>
      <c r="L9" s="2">
        <f t="shared" ref="L9:O9" si="0">SUM(G5:G9)</f>
        <v>138</v>
      </c>
      <c r="M9" s="2">
        <f t="shared" si="0"/>
        <v>11</v>
      </c>
      <c r="N9" s="2">
        <f t="shared" si="0"/>
        <v>19</v>
      </c>
      <c r="O9" s="2">
        <f t="shared" si="0"/>
        <v>1</v>
      </c>
    </row>
    <row r="10" spans="1:15" x14ac:dyDescent="0.35">
      <c r="A10" s="4" t="s">
        <v>507</v>
      </c>
      <c r="B10" s="4" t="s">
        <v>508</v>
      </c>
      <c r="C10" s="4">
        <v>1058</v>
      </c>
      <c r="D10" s="16" t="s">
        <v>83</v>
      </c>
      <c r="E10" s="17" t="s">
        <v>17</v>
      </c>
      <c r="F10" s="12">
        <v>85</v>
      </c>
      <c r="G10" s="12">
        <v>46</v>
      </c>
      <c r="H10" s="12">
        <v>4</v>
      </c>
      <c r="I10" s="12">
        <v>5</v>
      </c>
      <c r="J10" s="12">
        <v>1</v>
      </c>
    </row>
    <row r="11" spans="1:15" x14ac:dyDescent="0.35">
      <c r="A11" s="80"/>
      <c r="B11" s="80"/>
      <c r="C11" s="80"/>
      <c r="D11" s="16" t="s">
        <v>83</v>
      </c>
      <c r="E11" s="17" t="s">
        <v>2</v>
      </c>
      <c r="F11" s="12">
        <v>92</v>
      </c>
      <c r="G11" s="12">
        <v>58</v>
      </c>
      <c r="H11" s="12">
        <v>1</v>
      </c>
      <c r="I11" s="12">
        <v>6</v>
      </c>
      <c r="J11" s="14"/>
    </row>
    <row r="12" spans="1:15" x14ac:dyDescent="0.35">
      <c r="A12" s="80"/>
      <c r="B12" s="80"/>
      <c r="C12" s="80"/>
      <c r="D12" s="16" t="s">
        <v>83</v>
      </c>
      <c r="E12" s="17" t="s">
        <v>3</v>
      </c>
      <c r="F12" s="12">
        <v>107</v>
      </c>
      <c r="G12" s="12">
        <v>39</v>
      </c>
      <c r="H12" s="14"/>
      <c r="I12" s="12">
        <v>5</v>
      </c>
      <c r="J12" s="14"/>
    </row>
    <row r="13" spans="1:15" x14ac:dyDescent="0.35">
      <c r="A13" s="80"/>
      <c r="B13" s="80"/>
      <c r="C13" s="80"/>
      <c r="D13" s="16" t="s">
        <v>83</v>
      </c>
      <c r="E13" s="17" t="s">
        <v>4</v>
      </c>
      <c r="F13" s="12">
        <v>106</v>
      </c>
      <c r="G13" s="12">
        <v>40</v>
      </c>
      <c r="H13" s="12">
        <v>1</v>
      </c>
      <c r="I13" s="12">
        <v>5</v>
      </c>
      <c r="J13" s="14"/>
      <c r="K13" s="2">
        <f>SUM(F10:F13)</f>
        <v>390</v>
      </c>
      <c r="L13" s="2">
        <f t="shared" ref="L13:O13" si="1">SUM(G10:G13)</f>
        <v>183</v>
      </c>
      <c r="M13" s="2">
        <f t="shared" si="1"/>
        <v>6</v>
      </c>
      <c r="N13" s="2">
        <f t="shared" si="1"/>
        <v>21</v>
      </c>
      <c r="O13" s="2">
        <f t="shared" si="1"/>
        <v>1</v>
      </c>
    </row>
    <row r="14" spans="1:15" x14ac:dyDescent="0.35">
      <c r="A14" s="9" t="s">
        <v>306</v>
      </c>
      <c r="B14" s="9" t="s">
        <v>307</v>
      </c>
      <c r="C14" s="9">
        <v>1569</v>
      </c>
      <c r="D14" s="16" t="s">
        <v>84</v>
      </c>
      <c r="E14" s="17" t="s">
        <v>17</v>
      </c>
      <c r="F14" s="13">
        <v>101</v>
      </c>
      <c r="G14" s="13">
        <v>51</v>
      </c>
      <c r="H14" s="13">
        <v>5</v>
      </c>
      <c r="I14" s="13">
        <v>2</v>
      </c>
      <c r="J14" s="15"/>
    </row>
    <row r="15" spans="1:15" x14ac:dyDescent="0.35">
      <c r="A15" s="74"/>
      <c r="B15" s="74"/>
      <c r="C15" s="74"/>
      <c r="D15" s="16" t="s">
        <v>84</v>
      </c>
      <c r="E15" s="17" t="s">
        <v>2</v>
      </c>
      <c r="F15" s="13">
        <v>59</v>
      </c>
      <c r="G15" s="13">
        <v>39</v>
      </c>
      <c r="H15" s="13">
        <v>1</v>
      </c>
      <c r="I15" s="13">
        <v>1</v>
      </c>
      <c r="J15" s="15"/>
    </row>
    <row r="16" spans="1:15" x14ac:dyDescent="0.35">
      <c r="A16" s="74"/>
      <c r="B16" s="74"/>
      <c r="C16" s="74"/>
      <c r="D16" s="16" t="s">
        <v>84</v>
      </c>
      <c r="E16" s="17" t="s">
        <v>3</v>
      </c>
      <c r="F16" s="13">
        <v>115</v>
      </c>
      <c r="G16" s="13">
        <v>53</v>
      </c>
      <c r="H16" s="13">
        <v>5</v>
      </c>
      <c r="I16" s="13">
        <v>12</v>
      </c>
      <c r="J16" s="15"/>
    </row>
    <row r="17" spans="1:15" x14ac:dyDescent="0.35">
      <c r="A17" s="74"/>
      <c r="B17" s="74"/>
      <c r="C17" s="74"/>
      <c r="D17" s="16" t="s">
        <v>84</v>
      </c>
      <c r="E17" s="17" t="s">
        <v>4</v>
      </c>
      <c r="F17" s="13">
        <v>45</v>
      </c>
      <c r="G17" s="13">
        <v>54</v>
      </c>
      <c r="H17" s="15"/>
      <c r="I17" s="13">
        <v>6</v>
      </c>
      <c r="J17" s="15"/>
    </row>
    <row r="18" spans="1:15" x14ac:dyDescent="0.35">
      <c r="A18" s="74"/>
      <c r="B18" s="74"/>
      <c r="C18" s="74"/>
      <c r="D18" s="16" t="s">
        <v>84</v>
      </c>
      <c r="E18" s="17" t="s">
        <v>5</v>
      </c>
      <c r="F18" s="13">
        <v>100</v>
      </c>
      <c r="G18" s="13">
        <v>74</v>
      </c>
      <c r="H18" s="13">
        <v>5</v>
      </c>
      <c r="I18" s="13">
        <v>10</v>
      </c>
      <c r="J18" s="15"/>
    </row>
    <row r="19" spans="1:15" x14ac:dyDescent="0.35">
      <c r="A19" s="74"/>
      <c r="B19" s="74"/>
      <c r="C19" s="74"/>
      <c r="D19" s="16" t="s">
        <v>84</v>
      </c>
      <c r="E19" s="17" t="s">
        <v>6</v>
      </c>
      <c r="F19" s="13">
        <v>47</v>
      </c>
      <c r="G19" s="13">
        <v>14</v>
      </c>
      <c r="H19" s="13">
        <v>2</v>
      </c>
      <c r="I19" s="13">
        <v>4</v>
      </c>
      <c r="J19" s="15"/>
    </row>
    <row r="20" spans="1:15" x14ac:dyDescent="0.35">
      <c r="A20" s="74"/>
      <c r="B20" s="74"/>
      <c r="C20" s="74"/>
      <c r="D20" s="16" t="s">
        <v>84</v>
      </c>
      <c r="E20" s="17" t="s">
        <v>7</v>
      </c>
      <c r="F20" s="13">
        <v>36</v>
      </c>
      <c r="G20" s="13">
        <v>30</v>
      </c>
      <c r="H20" s="13">
        <v>3</v>
      </c>
      <c r="I20" s="13">
        <v>2</v>
      </c>
      <c r="J20" s="15"/>
    </row>
    <row r="21" spans="1:15" x14ac:dyDescent="0.35">
      <c r="A21" s="74"/>
      <c r="B21" s="74"/>
      <c r="C21" s="74"/>
      <c r="D21" s="16" t="s">
        <v>84</v>
      </c>
      <c r="E21" s="17" t="s">
        <v>8</v>
      </c>
      <c r="F21" s="13">
        <v>18</v>
      </c>
      <c r="G21" s="13">
        <v>16</v>
      </c>
      <c r="H21" s="13">
        <v>1</v>
      </c>
      <c r="I21" s="13">
        <v>2</v>
      </c>
      <c r="J21" s="15"/>
    </row>
    <row r="22" spans="1:15" x14ac:dyDescent="0.35">
      <c r="A22" s="74"/>
      <c r="B22" s="74"/>
      <c r="C22" s="74"/>
      <c r="D22" s="16" t="s">
        <v>84</v>
      </c>
      <c r="E22" s="17" t="s">
        <v>9</v>
      </c>
      <c r="F22" s="13">
        <v>23</v>
      </c>
      <c r="G22" s="13">
        <v>14</v>
      </c>
      <c r="H22" s="15"/>
      <c r="I22" s="13">
        <v>2</v>
      </c>
      <c r="J22" s="15"/>
    </row>
    <row r="23" spans="1:15" x14ac:dyDescent="0.35">
      <c r="A23" s="74"/>
      <c r="B23" s="74"/>
      <c r="C23" s="74"/>
      <c r="D23" s="16" t="s">
        <v>84</v>
      </c>
      <c r="E23" s="17" t="s">
        <v>11</v>
      </c>
      <c r="F23" s="13">
        <v>14</v>
      </c>
      <c r="G23" s="13">
        <v>23</v>
      </c>
      <c r="H23" s="13">
        <v>5</v>
      </c>
      <c r="I23" s="13">
        <v>4</v>
      </c>
      <c r="J23" s="15"/>
      <c r="K23" s="2">
        <f>SUM(F14:F23)</f>
        <v>558</v>
      </c>
      <c r="L23" s="2">
        <f t="shared" ref="L23:O23" si="2">SUM(G14:G23)</f>
        <v>368</v>
      </c>
      <c r="M23" s="2">
        <f t="shared" si="2"/>
        <v>27</v>
      </c>
      <c r="N23" s="2">
        <f t="shared" si="2"/>
        <v>45</v>
      </c>
      <c r="O23" s="2">
        <f t="shared" si="2"/>
        <v>0</v>
      </c>
    </row>
    <row r="24" spans="1:15" x14ac:dyDescent="0.35">
      <c r="A24" s="4" t="s">
        <v>503</v>
      </c>
      <c r="B24" s="4" t="s">
        <v>504</v>
      </c>
      <c r="C24" s="4">
        <v>2219</v>
      </c>
      <c r="D24" s="16" t="s">
        <v>85</v>
      </c>
      <c r="E24" s="17" t="s">
        <v>17</v>
      </c>
      <c r="F24" s="12">
        <v>151</v>
      </c>
      <c r="G24" s="12">
        <v>129</v>
      </c>
      <c r="H24" s="12">
        <v>26</v>
      </c>
      <c r="I24" s="12">
        <v>15</v>
      </c>
      <c r="J24" s="14"/>
    </row>
    <row r="25" spans="1:15" x14ac:dyDescent="0.35">
      <c r="A25" s="80"/>
      <c r="B25" s="80"/>
      <c r="C25" s="80"/>
      <c r="D25" s="16" t="s">
        <v>85</v>
      </c>
      <c r="E25" s="17" t="s">
        <v>2</v>
      </c>
      <c r="F25" s="12">
        <v>117</v>
      </c>
      <c r="G25" s="12">
        <v>60</v>
      </c>
      <c r="H25" s="12">
        <v>3</v>
      </c>
      <c r="I25" s="12">
        <v>7</v>
      </c>
      <c r="J25" s="14"/>
    </row>
    <row r="26" spans="1:15" x14ac:dyDescent="0.35">
      <c r="A26" s="80"/>
      <c r="B26" s="80"/>
      <c r="C26" s="80"/>
      <c r="D26" s="16" t="s">
        <v>85</v>
      </c>
      <c r="E26" s="17" t="s">
        <v>3</v>
      </c>
      <c r="F26" s="12">
        <v>83</v>
      </c>
      <c r="G26" s="12">
        <v>25</v>
      </c>
      <c r="H26" s="12">
        <v>3</v>
      </c>
      <c r="I26" s="12">
        <v>6</v>
      </c>
      <c r="J26" s="14"/>
    </row>
    <row r="27" spans="1:15" x14ac:dyDescent="0.35">
      <c r="A27" s="80"/>
      <c r="B27" s="80"/>
      <c r="C27" s="80"/>
      <c r="D27" s="16" t="s">
        <v>85</v>
      </c>
      <c r="E27" s="17" t="s">
        <v>4</v>
      </c>
      <c r="F27" s="12">
        <v>94</v>
      </c>
      <c r="G27" s="12">
        <v>37</v>
      </c>
      <c r="H27" s="12">
        <v>5</v>
      </c>
      <c r="I27" s="12">
        <v>7</v>
      </c>
      <c r="J27" s="14"/>
    </row>
    <row r="28" spans="1:15" x14ac:dyDescent="0.35">
      <c r="A28" s="80"/>
      <c r="B28" s="80"/>
      <c r="C28" s="80"/>
      <c r="D28" s="16" t="s">
        <v>85</v>
      </c>
      <c r="E28" s="17" t="s">
        <v>5</v>
      </c>
      <c r="F28" s="12">
        <v>68</v>
      </c>
      <c r="G28" s="12">
        <v>30</v>
      </c>
      <c r="H28" s="14"/>
      <c r="I28" s="12">
        <v>6</v>
      </c>
      <c r="J28" s="14"/>
      <c r="K28" s="2">
        <f>SUM(F24:F28)</f>
        <v>513</v>
      </c>
      <c r="L28" s="2">
        <f t="shared" ref="L28:O28" si="3">SUM(G24:G28)</f>
        <v>281</v>
      </c>
      <c r="M28" s="2">
        <f t="shared" si="3"/>
        <v>37</v>
      </c>
      <c r="N28" s="2">
        <f t="shared" si="3"/>
        <v>41</v>
      </c>
      <c r="O28" s="2">
        <f t="shared" si="3"/>
        <v>0</v>
      </c>
    </row>
    <row r="29" spans="1:15" x14ac:dyDescent="0.35">
      <c r="A29" s="9" t="s">
        <v>509</v>
      </c>
      <c r="B29" s="9" t="s">
        <v>510</v>
      </c>
      <c r="C29" s="9">
        <v>3155</v>
      </c>
      <c r="D29" s="16" t="s">
        <v>86</v>
      </c>
      <c r="E29" s="17" t="s">
        <v>0</v>
      </c>
      <c r="F29" s="13">
        <v>1</v>
      </c>
      <c r="G29" s="15"/>
      <c r="H29" s="15"/>
      <c r="I29" s="15"/>
      <c r="J29" s="15"/>
    </row>
    <row r="30" spans="1:15" x14ac:dyDescent="0.35">
      <c r="A30" s="74"/>
      <c r="B30" s="74"/>
      <c r="C30" s="74"/>
      <c r="D30" s="16" t="s">
        <v>86</v>
      </c>
      <c r="E30" s="17" t="s">
        <v>17</v>
      </c>
      <c r="F30" s="13">
        <v>183</v>
      </c>
      <c r="G30" s="13">
        <v>125</v>
      </c>
      <c r="H30" s="13">
        <v>14</v>
      </c>
      <c r="I30" s="13">
        <v>17</v>
      </c>
      <c r="J30" s="15"/>
    </row>
    <row r="31" spans="1:15" x14ac:dyDescent="0.35">
      <c r="A31" s="74"/>
      <c r="B31" s="74"/>
      <c r="C31" s="74"/>
      <c r="D31" s="16" t="s">
        <v>86</v>
      </c>
      <c r="E31" s="17" t="s">
        <v>2</v>
      </c>
      <c r="F31" s="13">
        <v>153</v>
      </c>
      <c r="G31" s="13">
        <v>58</v>
      </c>
      <c r="H31" s="13">
        <v>10</v>
      </c>
      <c r="I31" s="13">
        <v>7</v>
      </c>
      <c r="J31" s="15"/>
    </row>
    <row r="32" spans="1:15" x14ac:dyDescent="0.35">
      <c r="A32" s="74"/>
      <c r="B32" s="74"/>
      <c r="C32" s="74"/>
      <c r="D32" s="16" t="s">
        <v>86</v>
      </c>
      <c r="E32" s="17" t="s">
        <v>3</v>
      </c>
      <c r="F32" s="13">
        <v>38</v>
      </c>
      <c r="G32" s="13">
        <v>20</v>
      </c>
      <c r="H32" s="13">
        <v>2</v>
      </c>
      <c r="I32" s="13">
        <v>3</v>
      </c>
      <c r="J32" s="15"/>
    </row>
    <row r="33" spans="1:15" x14ac:dyDescent="0.35">
      <c r="A33" s="74"/>
      <c r="B33" s="74"/>
      <c r="C33" s="74"/>
      <c r="D33" s="16" t="s">
        <v>86</v>
      </c>
      <c r="E33" s="17" t="s">
        <v>4</v>
      </c>
      <c r="F33" s="13">
        <v>67</v>
      </c>
      <c r="G33" s="13">
        <v>35</v>
      </c>
      <c r="H33" s="13">
        <v>1</v>
      </c>
      <c r="I33" s="13">
        <v>3</v>
      </c>
      <c r="J33" s="15"/>
    </row>
    <row r="34" spans="1:15" x14ac:dyDescent="0.35">
      <c r="A34" s="74"/>
      <c r="B34" s="74"/>
      <c r="C34" s="74"/>
      <c r="D34" s="16" t="s">
        <v>86</v>
      </c>
      <c r="E34" s="17" t="s">
        <v>5</v>
      </c>
      <c r="F34" s="13">
        <v>157</v>
      </c>
      <c r="G34" s="13">
        <v>65</v>
      </c>
      <c r="H34" s="15"/>
      <c r="I34" s="13">
        <v>6</v>
      </c>
      <c r="J34" s="15"/>
    </row>
    <row r="35" spans="1:15" x14ac:dyDescent="0.35">
      <c r="A35" s="74"/>
      <c r="B35" s="74"/>
      <c r="C35" s="74"/>
      <c r="D35" s="16" t="s">
        <v>86</v>
      </c>
      <c r="E35" s="17" t="s">
        <v>6</v>
      </c>
      <c r="F35" s="13">
        <v>210</v>
      </c>
      <c r="G35" s="13">
        <v>37</v>
      </c>
      <c r="H35" s="13">
        <v>8</v>
      </c>
      <c r="I35" s="13">
        <v>9</v>
      </c>
      <c r="J35" s="13">
        <v>1</v>
      </c>
    </row>
    <row r="36" spans="1:15" x14ac:dyDescent="0.35">
      <c r="A36" s="74"/>
      <c r="B36" s="74"/>
      <c r="C36" s="74"/>
      <c r="D36" s="16" t="s">
        <v>86</v>
      </c>
      <c r="E36" s="17" t="s">
        <v>7</v>
      </c>
      <c r="F36" s="13">
        <v>63</v>
      </c>
      <c r="G36" s="13">
        <v>21</v>
      </c>
      <c r="H36" s="13">
        <v>1</v>
      </c>
      <c r="I36" s="13">
        <v>3</v>
      </c>
      <c r="J36" s="15"/>
    </row>
    <row r="37" spans="1:15" x14ac:dyDescent="0.35">
      <c r="A37" s="74"/>
      <c r="B37" s="74"/>
      <c r="C37" s="74"/>
      <c r="D37" s="16" t="s">
        <v>86</v>
      </c>
      <c r="E37" s="17" t="s">
        <v>8</v>
      </c>
      <c r="F37" s="13">
        <v>84</v>
      </c>
      <c r="G37" s="13">
        <v>16</v>
      </c>
      <c r="H37" s="13">
        <v>13</v>
      </c>
      <c r="I37" s="13">
        <v>2</v>
      </c>
      <c r="J37" s="15"/>
    </row>
    <row r="38" spans="1:15" x14ac:dyDescent="0.35">
      <c r="A38" s="74"/>
      <c r="B38" s="74"/>
      <c r="C38" s="74"/>
      <c r="D38" s="16" t="s">
        <v>86</v>
      </c>
      <c r="E38" s="17" t="s">
        <v>9</v>
      </c>
      <c r="F38" s="13">
        <v>86</v>
      </c>
      <c r="G38" s="13">
        <v>35</v>
      </c>
      <c r="H38" s="13">
        <v>9</v>
      </c>
      <c r="I38" s="13">
        <v>5</v>
      </c>
      <c r="J38" s="15"/>
    </row>
    <row r="39" spans="1:15" x14ac:dyDescent="0.35">
      <c r="A39" s="74"/>
      <c r="B39" s="74"/>
      <c r="C39" s="74"/>
      <c r="D39" s="16" t="s">
        <v>86</v>
      </c>
      <c r="E39" s="17" t="s">
        <v>11</v>
      </c>
      <c r="F39" s="13">
        <v>46</v>
      </c>
      <c r="G39" s="13">
        <v>35</v>
      </c>
      <c r="H39" s="13">
        <v>3</v>
      </c>
      <c r="I39" s="13">
        <v>2</v>
      </c>
      <c r="J39" s="15"/>
    </row>
    <row r="40" spans="1:15" x14ac:dyDescent="0.35">
      <c r="A40" s="74"/>
      <c r="B40" s="74"/>
      <c r="C40" s="74"/>
      <c r="D40" s="16" t="s">
        <v>86</v>
      </c>
      <c r="E40" s="17" t="s">
        <v>15</v>
      </c>
      <c r="F40" s="13">
        <v>1</v>
      </c>
      <c r="G40" s="15"/>
      <c r="H40" s="15"/>
      <c r="I40" s="15"/>
      <c r="J40" s="15"/>
      <c r="K40" s="2">
        <f>SUM(F29:F40)</f>
        <v>1089</v>
      </c>
      <c r="L40" s="2">
        <f t="shared" ref="L40:O40" si="4">SUM(G29:G40)</f>
        <v>447</v>
      </c>
      <c r="M40" s="2">
        <f t="shared" si="4"/>
        <v>61</v>
      </c>
      <c r="N40" s="2">
        <f t="shared" si="4"/>
        <v>57</v>
      </c>
      <c r="O40" s="2">
        <f t="shared" si="4"/>
        <v>1</v>
      </c>
    </row>
    <row r="41" spans="1:15" x14ac:dyDescent="0.35">
      <c r="A41" s="4" t="s">
        <v>511</v>
      </c>
      <c r="B41" s="4" t="s">
        <v>512</v>
      </c>
      <c r="C41" s="4">
        <v>1414</v>
      </c>
      <c r="D41" s="16" t="s">
        <v>87</v>
      </c>
      <c r="E41" s="17" t="s">
        <v>17</v>
      </c>
      <c r="F41" s="12">
        <v>72</v>
      </c>
      <c r="G41" s="12">
        <v>64</v>
      </c>
      <c r="H41" s="12">
        <v>1</v>
      </c>
      <c r="I41" s="12">
        <v>5</v>
      </c>
      <c r="J41" s="14"/>
    </row>
    <row r="42" spans="1:15" x14ac:dyDescent="0.35">
      <c r="A42" s="80"/>
      <c r="B42" s="80"/>
      <c r="C42" s="80"/>
      <c r="D42" s="16" t="s">
        <v>87</v>
      </c>
      <c r="E42" s="17" t="s">
        <v>2</v>
      </c>
      <c r="F42" s="12">
        <v>114</v>
      </c>
      <c r="G42" s="12">
        <v>39</v>
      </c>
      <c r="H42" s="12">
        <v>5</v>
      </c>
      <c r="I42" s="12">
        <v>8</v>
      </c>
      <c r="J42" s="14"/>
    </row>
    <row r="43" spans="1:15" x14ac:dyDescent="0.35">
      <c r="A43" s="80"/>
      <c r="B43" s="80"/>
      <c r="C43" s="80"/>
      <c r="D43" s="16" t="s">
        <v>87</v>
      </c>
      <c r="E43" s="17" t="s">
        <v>3</v>
      </c>
      <c r="F43" s="12">
        <v>76</v>
      </c>
      <c r="G43" s="12">
        <v>37</v>
      </c>
      <c r="H43" s="12">
        <v>1</v>
      </c>
      <c r="I43" s="12">
        <v>3</v>
      </c>
      <c r="J43" s="14"/>
    </row>
    <row r="44" spans="1:15" x14ac:dyDescent="0.35">
      <c r="A44" s="80"/>
      <c r="B44" s="80"/>
      <c r="C44" s="80"/>
      <c r="D44" s="16" t="s">
        <v>87</v>
      </c>
      <c r="E44" s="17" t="s">
        <v>4</v>
      </c>
      <c r="F44" s="12">
        <v>33</v>
      </c>
      <c r="G44" s="12">
        <v>21</v>
      </c>
      <c r="H44" s="14"/>
      <c r="I44" s="14"/>
      <c r="J44" s="14"/>
    </row>
    <row r="45" spans="1:15" x14ac:dyDescent="0.35">
      <c r="A45" s="80"/>
      <c r="B45" s="80"/>
      <c r="C45" s="80"/>
      <c r="D45" s="16" t="s">
        <v>87</v>
      </c>
      <c r="E45" s="17" t="s">
        <v>5</v>
      </c>
      <c r="F45" s="12">
        <v>57</v>
      </c>
      <c r="G45" s="12">
        <v>29</v>
      </c>
      <c r="H45" s="12">
        <v>1</v>
      </c>
      <c r="I45" s="12">
        <v>5</v>
      </c>
      <c r="J45" s="14"/>
    </row>
    <row r="46" spans="1:15" x14ac:dyDescent="0.35">
      <c r="A46" s="80"/>
      <c r="B46" s="80"/>
      <c r="C46" s="80"/>
      <c r="D46" s="16" t="s">
        <v>87</v>
      </c>
      <c r="E46" s="17" t="s">
        <v>6</v>
      </c>
      <c r="F46" s="12">
        <v>27</v>
      </c>
      <c r="G46" s="12">
        <v>15</v>
      </c>
      <c r="H46" s="14"/>
      <c r="I46" s="12">
        <v>1</v>
      </c>
      <c r="J46" s="14"/>
    </row>
    <row r="47" spans="1:15" x14ac:dyDescent="0.35">
      <c r="A47" s="80"/>
      <c r="B47" s="80"/>
      <c r="C47" s="80"/>
      <c r="D47" s="16" t="s">
        <v>87</v>
      </c>
      <c r="E47" s="17" t="s">
        <v>7</v>
      </c>
      <c r="F47" s="12">
        <v>57</v>
      </c>
      <c r="G47" s="12">
        <v>24</v>
      </c>
      <c r="H47" s="12">
        <v>2</v>
      </c>
      <c r="I47" s="12">
        <v>1</v>
      </c>
      <c r="J47" s="14"/>
    </row>
    <row r="48" spans="1:15" x14ac:dyDescent="0.35">
      <c r="A48" s="80"/>
      <c r="B48" s="80"/>
      <c r="C48" s="80"/>
      <c r="D48" s="16" t="s">
        <v>87</v>
      </c>
      <c r="E48" s="17" t="s">
        <v>8</v>
      </c>
      <c r="F48" s="12">
        <v>53</v>
      </c>
      <c r="G48" s="12">
        <v>39</v>
      </c>
      <c r="H48" s="12">
        <v>2</v>
      </c>
      <c r="I48" s="12">
        <v>6</v>
      </c>
      <c r="J48" s="14"/>
    </row>
    <row r="49" spans="1:15" x14ac:dyDescent="0.35">
      <c r="A49" s="80"/>
      <c r="B49" s="80"/>
      <c r="C49" s="80"/>
      <c r="D49" s="16" t="s">
        <v>87</v>
      </c>
      <c r="E49" s="17" t="s">
        <v>9</v>
      </c>
      <c r="F49" s="12">
        <v>84</v>
      </c>
      <c r="G49" s="12">
        <v>36</v>
      </c>
      <c r="H49" s="12">
        <v>4</v>
      </c>
      <c r="I49" s="12">
        <v>4</v>
      </c>
      <c r="J49" s="14"/>
      <c r="K49" s="2">
        <f>SUM(F41:F49)</f>
        <v>573</v>
      </c>
      <c r="L49" s="2">
        <f t="shared" ref="L49:O49" si="5">SUM(G41:G49)</f>
        <v>304</v>
      </c>
      <c r="M49" s="2">
        <f t="shared" si="5"/>
        <v>16</v>
      </c>
      <c r="N49" s="2">
        <f t="shared" si="5"/>
        <v>33</v>
      </c>
      <c r="O49" s="2">
        <f t="shared" si="5"/>
        <v>0</v>
      </c>
    </row>
    <row r="50" spans="1:15" x14ac:dyDescent="0.35">
      <c r="A50" s="9" t="s">
        <v>513</v>
      </c>
      <c r="B50" s="9" t="s">
        <v>514</v>
      </c>
      <c r="C50" s="9">
        <v>1179</v>
      </c>
      <c r="D50" s="16" t="s">
        <v>88</v>
      </c>
      <c r="E50" s="17" t="s">
        <v>17</v>
      </c>
      <c r="F50" s="13">
        <v>137</v>
      </c>
      <c r="G50" s="13">
        <v>15</v>
      </c>
      <c r="H50" s="15"/>
      <c r="I50" s="13">
        <v>1</v>
      </c>
      <c r="J50" s="15"/>
    </row>
    <row r="51" spans="1:15" x14ac:dyDescent="0.35">
      <c r="A51" s="74"/>
      <c r="B51" s="74"/>
      <c r="C51" s="74"/>
      <c r="D51" s="16" t="s">
        <v>88</v>
      </c>
      <c r="E51" s="17" t="s">
        <v>2</v>
      </c>
      <c r="F51" s="13">
        <v>62</v>
      </c>
      <c r="G51" s="13">
        <v>17</v>
      </c>
      <c r="H51" s="15"/>
      <c r="I51" s="13">
        <v>1</v>
      </c>
      <c r="J51" s="13">
        <v>1</v>
      </c>
    </row>
    <row r="52" spans="1:15" x14ac:dyDescent="0.35">
      <c r="A52" s="74"/>
      <c r="B52" s="74"/>
      <c r="C52" s="74"/>
      <c r="D52" s="16" t="s">
        <v>88</v>
      </c>
      <c r="E52" s="17" t="s">
        <v>3</v>
      </c>
      <c r="F52" s="13">
        <v>77</v>
      </c>
      <c r="G52" s="13">
        <v>9</v>
      </c>
      <c r="H52" s="13">
        <v>1</v>
      </c>
      <c r="I52" s="13">
        <v>1</v>
      </c>
      <c r="J52" s="15"/>
    </row>
    <row r="53" spans="1:15" x14ac:dyDescent="0.35">
      <c r="A53" s="74"/>
      <c r="B53" s="74"/>
      <c r="C53" s="74"/>
      <c r="D53" s="16" t="s">
        <v>88</v>
      </c>
      <c r="E53" s="17" t="s">
        <v>4</v>
      </c>
      <c r="F53" s="13">
        <v>72</v>
      </c>
      <c r="G53" s="13">
        <v>18</v>
      </c>
      <c r="H53" s="13">
        <v>2</v>
      </c>
      <c r="I53" s="13">
        <v>1</v>
      </c>
      <c r="J53" s="15"/>
    </row>
    <row r="54" spans="1:15" x14ac:dyDescent="0.35">
      <c r="A54" s="74"/>
      <c r="B54" s="74"/>
      <c r="C54" s="74"/>
      <c r="D54" s="16" t="s">
        <v>88</v>
      </c>
      <c r="E54" s="17" t="s">
        <v>5</v>
      </c>
      <c r="F54" s="13">
        <v>131</v>
      </c>
      <c r="G54" s="13">
        <v>37</v>
      </c>
      <c r="H54" s="13">
        <v>5</v>
      </c>
      <c r="I54" s="13">
        <v>8</v>
      </c>
      <c r="J54" s="13">
        <v>1</v>
      </c>
    </row>
    <row r="55" spans="1:15" x14ac:dyDescent="0.35">
      <c r="A55" s="74"/>
      <c r="B55" s="74"/>
      <c r="C55" s="74"/>
      <c r="D55" s="16" t="s">
        <v>88</v>
      </c>
      <c r="E55" s="17" t="s">
        <v>6</v>
      </c>
      <c r="F55" s="13">
        <v>59</v>
      </c>
      <c r="G55" s="13">
        <v>25</v>
      </c>
      <c r="H55" s="13">
        <v>6</v>
      </c>
      <c r="I55" s="15"/>
      <c r="J55" s="13">
        <v>1</v>
      </c>
    </row>
    <row r="56" spans="1:15" x14ac:dyDescent="0.35">
      <c r="A56" s="74"/>
      <c r="B56" s="74"/>
      <c r="C56" s="74"/>
      <c r="D56" s="16" t="s">
        <v>88</v>
      </c>
      <c r="E56" s="17" t="s">
        <v>7</v>
      </c>
      <c r="F56" s="13">
        <v>69</v>
      </c>
      <c r="G56" s="13">
        <v>21</v>
      </c>
      <c r="H56" s="13">
        <v>4</v>
      </c>
      <c r="I56" s="13">
        <v>3</v>
      </c>
      <c r="J56" s="15"/>
      <c r="K56" s="2">
        <f>SUM(F50:F56)</f>
        <v>607</v>
      </c>
      <c r="L56" s="2">
        <f t="shared" ref="L56:O56" si="6">SUM(G50:G56)</f>
        <v>142</v>
      </c>
      <c r="M56" s="2">
        <f t="shared" si="6"/>
        <v>18</v>
      </c>
      <c r="N56" s="2">
        <f t="shared" si="6"/>
        <v>15</v>
      </c>
      <c r="O56" s="2">
        <f t="shared" si="6"/>
        <v>3</v>
      </c>
    </row>
    <row r="57" spans="1:15" x14ac:dyDescent="0.35">
      <c r="A57" s="4" t="s">
        <v>376</v>
      </c>
      <c r="B57" s="4" t="s">
        <v>377</v>
      </c>
      <c r="C57" s="4">
        <v>2518</v>
      </c>
      <c r="D57" s="16" t="s">
        <v>89</v>
      </c>
      <c r="E57" s="17" t="s">
        <v>17</v>
      </c>
      <c r="F57" s="12">
        <v>183</v>
      </c>
      <c r="G57" s="12">
        <v>45</v>
      </c>
      <c r="H57" s="12">
        <v>6</v>
      </c>
      <c r="I57" s="12">
        <v>11</v>
      </c>
      <c r="J57" s="14"/>
    </row>
    <row r="58" spans="1:15" x14ac:dyDescent="0.35">
      <c r="A58" s="80"/>
      <c r="B58" s="80"/>
      <c r="C58" s="80"/>
      <c r="D58" s="16" t="s">
        <v>89</v>
      </c>
      <c r="E58" s="17" t="s">
        <v>2</v>
      </c>
      <c r="F58" s="12">
        <v>193</v>
      </c>
      <c r="G58" s="12">
        <v>45</v>
      </c>
      <c r="H58" s="12">
        <v>8</v>
      </c>
      <c r="I58" s="12">
        <v>9</v>
      </c>
      <c r="J58" s="12">
        <v>1</v>
      </c>
    </row>
    <row r="59" spans="1:15" x14ac:dyDescent="0.35">
      <c r="A59" s="80"/>
      <c r="B59" s="80"/>
      <c r="C59" s="80"/>
      <c r="D59" s="16" t="s">
        <v>89</v>
      </c>
      <c r="E59" s="17" t="s">
        <v>3</v>
      </c>
      <c r="F59" s="12">
        <v>50</v>
      </c>
      <c r="G59" s="12">
        <v>21</v>
      </c>
      <c r="H59" s="12">
        <v>5</v>
      </c>
      <c r="I59" s="12">
        <v>9</v>
      </c>
      <c r="J59" s="14"/>
    </row>
    <row r="60" spans="1:15" x14ac:dyDescent="0.35">
      <c r="A60" s="80"/>
      <c r="B60" s="80"/>
      <c r="C60" s="80"/>
      <c r="D60" s="16" t="s">
        <v>89</v>
      </c>
      <c r="E60" s="17" t="s">
        <v>4</v>
      </c>
      <c r="F60" s="12">
        <v>34</v>
      </c>
      <c r="G60" s="12">
        <v>26</v>
      </c>
      <c r="H60" s="12">
        <v>1</v>
      </c>
      <c r="I60" s="12">
        <v>3</v>
      </c>
      <c r="J60" s="14"/>
    </row>
    <row r="61" spans="1:15" x14ac:dyDescent="0.35">
      <c r="A61" s="80"/>
      <c r="B61" s="80"/>
      <c r="C61" s="80"/>
      <c r="D61" s="16" t="s">
        <v>89</v>
      </c>
      <c r="E61" s="17" t="s">
        <v>5</v>
      </c>
      <c r="F61" s="12">
        <v>185</v>
      </c>
      <c r="G61" s="12">
        <v>31</v>
      </c>
      <c r="H61" s="12">
        <v>4</v>
      </c>
      <c r="I61" s="12">
        <v>3</v>
      </c>
      <c r="J61" s="12">
        <v>1</v>
      </c>
    </row>
    <row r="62" spans="1:15" x14ac:dyDescent="0.35">
      <c r="A62" s="80"/>
      <c r="B62" s="80"/>
      <c r="C62" s="80"/>
      <c r="D62" s="16" t="s">
        <v>89</v>
      </c>
      <c r="E62" s="17" t="s">
        <v>6</v>
      </c>
      <c r="F62" s="12">
        <v>303</v>
      </c>
      <c r="G62" s="12">
        <v>132</v>
      </c>
      <c r="H62" s="12">
        <v>16</v>
      </c>
      <c r="I62" s="12">
        <v>16</v>
      </c>
      <c r="J62" s="12">
        <v>2</v>
      </c>
    </row>
    <row r="63" spans="1:15" x14ac:dyDescent="0.35">
      <c r="A63" s="80"/>
      <c r="B63" s="80"/>
      <c r="C63" s="80"/>
      <c r="D63" s="16" t="s">
        <v>89</v>
      </c>
      <c r="E63" s="17" t="s">
        <v>7</v>
      </c>
      <c r="F63" s="12">
        <v>41</v>
      </c>
      <c r="G63" s="12">
        <v>32</v>
      </c>
      <c r="H63" s="12">
        <v>2</v>
      </c>
      <c r="I63" s="12">
        <v>2</v>
      </c>
      <c r="J63" s="14"/>
      <c r="K63" s="2">
        <f>SUM(F57:F63)</f>
        <v>989</v>
      </c>
      <c r="L63" s="2">
        <f t="shared" ref="L63:O63" si="7">SUM(G57:G63)</f>
        <v>332</v>
      </c>
      <c r="M63" s="2">
        <f t="shared" si="7"/>
        <v>42</v>
      </c>
      <c r="N63" s="2">
        <f t="shared" si="7"/>
        <v>53</v>
      </c>
      <c r="O63" s="2">
        <f t="shared" si="7"/>
        <v>4</v>
      </c>
    </row>
    <row r="64" spans="1:15" x14ac:dyDescent="0.35">
      <c r="A64" s="9" t="s">
        <v>378</v>
      </c>
      <c r="B64" s="9" t="s">
        <v>379</v>
      </c>
      <c r="C64" s="9">
        <v>1357</v>
      </c>
      <c r="D64" s="16" t="s">
        <v>90</v>
      </c>
      <c r="E64" s="17" t="s">
        <v>17</v>
      </c>
      <c r="F64" s="13">
        <v>99</v>
      </c>
      <c r="G64" s="13">
        <v>20</v>
      </c>
      <c r="H64" s="13">
        <v>6</v>
      </c>
      <c r="I64" s="13">
        <v>5</v>
      </c>
      <c r="J64" s="15"/>
    </row>
    <row r="65" spans="1:15" x14ac:dyDescent="0.35">
      <c r="A65" s="74"/>
      <c r="B65" s="74"/>
      <c r="C65" s="74"/>
      <c r="D65" s="16" t="s">
        <v>90</v>
      </c>
      <c r="E65" s="17" t="s">
        <v>2</v>
      </c>
      <c r="F65" s="13">
        <v>101</v>
      </c>
      <c r="G65" s="13">
        <v>21</v>
      </c>
      <c r="H65" s="13">
        <v>1</v>
      </c>
      <c r="I65" s="13">
        <v>5</v>
      </c>
      <c r="J65" s="15"/>
    </row>
    <row r="66" spans="1:15" x14ac:dyDescent="0.35">
      <c r="A66" s="74"/>
      <c r="B66" s="74"/>
      <c r="C66" s="74"/>
      <c r="D66" s="16" t="s">
        <v>90</v>
      </c>
      <c r="E66" s="17" t="s">
        <v>3</v>
      </c>
      <c r="F66" s="13">
        <v>124</v>
      </c>
      <c r="G66" s="13">
        <v>26</v>
      </c>
      <c r="H66" s="13">
        <v>9</v>
      </c>
      <c r="I66" s="13">
        <v>3</v>
      </c>
      <c r="J66" s="15"/>
    </row>
    <row r="67" spans="1:15" x14ac:dyDescent="0.35">
      <c r="A67" s="74"/>
      <c r="B67" s="74"/>
      <c r="C67" s="74"/>
      <c r="D67" s="16" t="s">
        <v>90</v>
      </c>
      <c r="E67" s="17" t="s">
        <v>4</v>
      </c>
      <c r="F67" s="13">
        <v>92</v>
      </c>
      <c r="G67" s="13">
        <v>11</v>
      </c>
      <c r="H67" s="13">
        <v>1</v>
      </c>
      <c r="I67" s="13">
        <v>7</v>
      </c>
      <c r="J67" s="15"/>
    </row>
    <row r="68" spans="1:15" x14ac:dyDescent="0.35">
      <c r="A68" s="74"/>
      <c r="B68" s="74"/>
      <c r="C68" s="74"/>
      <c r="D68" s="16" t="s">
        <v>90</v>
      </c>
      <c r="E68" s="17" t="s">
        <v>5</v>
      </c>
      <c r="F68" s="13">
        <v>26</v>
      </c>
      <c r="G68" s="13">
        <v>12</v>
      </c>
      <c r="H68" s="13">
        <v>2</v>
      </c>
      <c r="I68" s="13">
        <v>9</v>
      </c>
      <c r="J68" s="15"/>
    </row>
    <row r="69" spans="1:15" x14ac:dyDescent="0.35">
      <c r="A69" s="74"/>
      <c r="B69" s="74"/>
      <c r="C69" s="74"/>
      <c r="D69" s="16" t="s">
        <v>90</v>
      </c>
      <c r="E69" s="17" t="s">
        <v>6</v>
      </c>
      <c r="F69" s="13">
        <v>48</v>
      </c>
      <c r="G69" s="13">
        <v>30</v>
      </c>
      <c r="H69" s="13">
        <v>2</v>
      </c>
      <c r="I69" s="13">
        <v>4</v>
      </c>
      <c r="J69" s="15"/>
    </row>
    <row r="70" spans="1:15" x14ac:dyDescent="0.35">
      <c r="A70" s="74"/>
      <c r="B70" s="74"/>
      <c r="C70" s="74"/>
      <c r="D70" s="16" t="s">
        <v>90</v>
      </c>
      <c r="E70" s="17" t="s">
        <v>7</v>
      </c>
      <c r="F70" s="13">
        <v>31</v>
      </c>
      <c r="G70" s="13">
        <v>6</v>
      </c>
      <c r="H70" s="15"/>
      <c r="I70" s="13">
        <v>1</v>
      </c>
      <c r="J70" s="15"/>
    </row>
    <row r="71" spans="1:15" x14ac:dyDescent="0.35">
      <c r="A71" s="74"/>
      <c r="B71" s="74"/>
      <c r="C71" s="74"/>
      <c r="D71" s="16" t="s">
        <v>90</v>
      </c>
      <c r="E71" s="17" t="s">
        <v>8</v>
      </c>
      <c r="F71" s="13">
        <v>116</v>
      </c>
      <c r="G71" s="13">
        <v>27</v>
      </c>
      <c r="H71" s="15"/>
      <c r="I71" s="13">
        <v>1</v>
      </c>
      <c r="J71" s="15"/>
      <c r="K71" s="2">
        <f>SUM(F64:F71)</f>
        <v>637</v>
      </c>
      <c r="L71" s="2">
        <f t="shared" ref="L71:O71" si="8">SUM(G64:G71)</f>
        <v>153</v>
      </c>
      <c r="M71" s="2">
        <f t="shared" si="8"/>
        <v>21</v>
      </c>
      <c r="N71" s="2">
        <f t="shared" si="8"/>
        <v>35</v>
      </c>
      <c r="O71" s="2">
        <f t="shared" si="8"/>
        <v>0</v>
      </c>
    </row>
    <row r="72" spans="1:15" x14ac:dyDescent="0.35">
      <c r="A72" s="4" t="s">
        <v>380</v>
      </c>
      <c r="B72" s="4" t="s">
        <v>381</v>
      </c>
      <c r="C72" s="4">
        <v>585</v>
      </c>
      <c r="D72" s="16" t="s">
        <v>91</v>
      </c>
      <c r="E72" s="17" t="s">
        <v>17</v>
      </c>
      <c r="F72" s="12">
        <v>28</v>
      </c>
      <c r="G72" s="12">
        <v>14</v>
      </c>
      <c r="H72" s="14"/>
      <c r="I72" s="12">
        <v>1</v>
      </c>
      <c r="J72" s="14"/>
    </row>
    <row r="73" spans="1:15" x14ac:dyDescent="0.35">
      <c r="A73" s="80"/>
      <c r="B73" s="80"/>
      <c r="C73" s="80"/>
      <c r="D73" s="16" t="s">
        <v>91</v>
      </c>
      <c r="E73" s="17" t="s">
        <v>2</v>
      </c>
      <c r="F73" s="12">
        <v>23</v>
      </c>
      <c r="G73" s="12">
        <v>20</v>
      </c>
      <c r="H73" s="14"/>
      <c r="I73" s="14"/>
      <c r="J73" s="14"/>
    </row>
    <row r="74" spans="1:15" x14ac:dyDescent="0.35">
      <c r="A74" s="80"/>
      <c r="B74" s="80"/>
      <c r="C74" s="80"/>
      <c r="D74" s="16" t="s">
        <v>91</v>
      </c>
      <c r="E74" s="17" t="s">
        <v>3</v>
      </c>
      <c r="F74" s="12">
        <v>62</v>
      </c>
      <c r="G74" s="12">
        <v>11</v>
      </c>
      <c r="H74" s="14"/>
      <c r="I74" s="12">
        <v>3</v>
      </c>
      <c r="J74" s="14"/>
    </row>
    <row r="75" spans="1:15" x14ac:dyDescent="0.35">
      <c r="A75" s="80"/>
      <c r="B75" s="80"/>
      <c r="C75" s="80"/>
      <c r="D75" s="16" t="s">
        <v>91</v>
      </c>
      <c r="E75" s="17" t="s">
        <v>4</v>
      </c>
      <c r="F75" s="12">
        <v>80</v>
      </c>
      <c r="G75" s="12">
        <v>18</v>
      </c>
      <c r="H75" s="12">
        <v>4</v>
      </c>
      <c r="I75" s="12">
        <v>3</v>
      </c>
      <c r="J75" s="14"/>
    </row>
    <row r="76" spans="1:15" x14ac:dyDescent="0.35">
      <c r="A76" s="80"/>
      <c r="B76" s="80"/>
      <c r="C76" s="80"/>
      <c r="D76" s="16" t="s">
        <v>91</v>
      </c>
      <c r="E76" s="17" t="s">
        <v>5</v>
      </c>
      <c r="F76" s="12">
        <v>69</v>
      </c>
      <c r="G76" s="12">
        <v>29</v>
      </c>
      <c r="H76" s="12">
        <v>5</v>
      </c>
      <c r="I76" s="12">
        <v>5</v>
      </c>
      <c r="J76" s="14"/>
    </row>
    <row r="77" spans="1:15" x14ac:dyDescent="0.35">
      <c r="A77" s="80"/>
      <c r="B77" s="80"/>
      <c r="C77" s="80"/>
      <c r="D77" s="16" t="s">
        <v>91</v>
      </c>
      <c r="E77" s="17" t="s">
        <v>6</v>
      </c>
      <c r="F77" s="12">
        <v>15</v>
      </c>
      <c r="G77" s="12">
        <v>9</v>
      </c>
      <c r="H77" s="12">
        <v>3</v>
      </c>
      <c r="I77" s="14"/>
      <c r="J77" s="14"/>
      <c r="K77" s="2">
        <f>SUM(F72:F77)</f>
        <v>277</v>
      </c>
      <c r="L77" s="2">
        <f t="shared" ref="L77:O77" si="9">SUM(G72:G77)</f>
        <v>101</v>
      </c>
      <c r="M77" s="2">
        <f t="shared" si="9"/>
        <v>12</v>
      </c>
      <c r="N77" s="2">
        <f t="shared" si="9"/>
        <v>12</v>
      </c>
      <c r="O77" s="2">
        <f t="shared" si="9"/>
        <v>0</v>
      </c>
    </row>
    <row r="78" spans="1:15" x14ac:dyDescent="0.35">
      <c r="A78" s="9" t="s">
        <v>515</v>
      </c>
      <c r="B78" s="9" t="s">
        <v>516</v>
      </c>
      <c r="C78" s="9">
        <v>821</v>
      </c>
      <c r="D78" s="16" t="s">
        <v>92</v>
      </c>
      <c r="E78" s="17" t="s">
        <v>17</v>
      </c>
      <c r="F78" s="13">
        <v>45</v>
      </c>
      <c r="G78" s="13">
        <v>14</v>
      </c>
      <c r="H78" s="15"/>
      <c r="I78" s="15"/>
      <c r="J78" s="15"/>
    </row>
    <row r="79" spans="1:15" x14ac:dyDescent="0.35">
      <c r="A79" s="74"/>
      <c r="B79" s="74"/>
      <c r="C79" s="74"/>
      <c r="D79" s="16" t="s">
        <v>92</v>
      </c>
      <c r="E79" s="17" t="s">
        <v>2</v>
      </c>
      <c r="F79" s="13">
        <v>88</v>
      </c>
      <c r="G79" s="13">
        <v>23</v>
      </c>
      <c r="H79" s="13">
        <v>1</v>
      </c>
      <c r="I79" s="13">
        <v>7</v>
      </c>
      <c r="J79" s="15"/>
    </row>
    <row r="80" spans="1:15" x14ac:dyDescent="0.35">
      <c r="A80" s="74"/>
      <c r="B80" s="74"/>
      <c r="C80" s="74"/>
      <c r="D80" s="16" t="s">
        <v>92</v>
      </c>
      <c r="E80" s="17" t="s">
        <v>3</v>
      </c>
      <c r="F80" s="13">
        <v>50</v>
      </c>
      <c r="G80" s="13">
        <v>10</v>
      </c>
      <c r="H80" s="15"/>
      <c r="I80" s="13">
        <v>2</v>
      </c>
      <c r="J80" s="15"/>
    </row>
    <row r="81" spans="1:15" x14ac:dyDescent="0.35">
      <c r="A81" s="74"/>
      <c r="B81" s="74"/>
      <c r="C81" s="74"/>
      <c r="D81" s="16" t="s">
        <v>92</v>
      </c>
      <c r="E81" s="17" t="s">
        <v>4</v>
      </c>
      <c r="F81" s="13">
        <v>55</v>
      </c>
      <c r="G81" s="13">
        <v>12</v>
      </c>
      <c r="H81" s="15"/>
      <c r="I81" s="13">
        <v>1</v>
      </c>
      <c r="J81" s="15"/>
    </row>
    <row r="82" spans="1:15" x14ac:dyDescent="0.35">
      <c r="A82" s="74"/>
      <c r="B82" s="74"/>
      <c r="C82" s="74"/>
      <c r="D82" s="16" t="s">
        <v>92</v>
      </c>
      <c r="E82" s="17" t="s">
        <v>5</v>
      </c>
      <c r="F82" s="13">
        <v>22</v>
      </c>
      <c r="G82" s="13">
        <v>22</v>
      </c>
      <c r="H82" s="15"/>
      <c r="I82" s="15"/>
      <c r="J82" s="15"/>
    </row>
    <row r="83" spans="1:15" x14ac:dyDescent="0.35">
      <c r="A83" s="74"/>
      <c r="B83" s="74"/>
      <c r="C83" s="74"/>
      <c r="D83" s="16" t="s">
        <v>92</v>
      </c>
      <c r="E83" s="17" t="s">
        <v>6</v>
      </c>
      <c r="F83" s="13">
        <v>24</v>
      </c>
      <c r="G83" s="13">
        <v>15</v>
      </c>
      <c r="H83" s="15"/>
      <c r="I83" s="13">
        <v>1</v>
      </c>
      <c r="J83" s="15"/>
    </row>
    <row r="84" spans="1:15" x14ac:dyDescent="0.35">
      <c r="A84" s="74"/>
      <c r="B84" s="74"/>
      <c r="C84" s="74"/>
      <c r="D84" s="16" t="s">
        <v>92</v>
      </c>
      <c r="E84" s="17" t="s">
        <v>7</v>
      </c>
      <c r="F84" s="13">
        <v>38</v>
      </c>
      <c r="G84" s="13">
        <v>29</v>
      </c>
      <c r="H84" s="13">
        <v>3</v>
      </c>
      <c r="I84" s="15"/>
      <c r="J84" s="15"/>
    </row>
    <row r="85" spans="1:15" x14ac:dyDescent="0.35">
      <c r="A85" s="74"/>
      <c r="B85" s="74"/>
      <c r="C85" s="74"/>
      <c r="D85" s="16" t="s">
        <v>92</v>
      </c>
      <c r="E85" s="17" t="s">
        <v>8</v>
      </c>
      <c r="F85" s="13">
        <v>10</v>
      </c>
      <c r="G85" s="13">
        <v>7</v>
      </c>
      <c r="H85" s="15"/>
      <c r="I85" s="15"/>
      <c r="J85" s="15"/>
    </row>
    <row r="86" spans="1:15" x14ac:dyDescent="0.35">
      <c r="A86" s="74"/>
      <c r="B86" s="74"/>
      <c r="C86" s="74"/>
      <c r="D86" s="16" t="s">
        <v>92</v>
      </c>
      <c r="E86" s="17" t="s">
        <v>9</v>
      </c>
      <c r="F86" s="13">
        <v>83</v>
      </c>
      <c r="G86" s="13">
        <v>32</v>
      </c>
      <c r="H86" s="15"/>
      <c r="I86" s="13">
        <v>5</v>
      </c>
      <c r="J86" s="15"/>
      <c r="K86" s="2">
        <f>SUM(F78:F86)</f>
        <v>415</v>
      </c>
      <c r="L86" s="2">
        <f t="shared" ref="L86:O86" si="10">SUM(G78:G86)</f>
        <v>164</v>
      </c>
      <c r="M86" s="2">
        <f t="shared" si="10"/>
        <v>4</v>
      </c>
      <c r="N86" s="2">
        <f t="shared" si="10"/>
        <v>16</v>
      </c>
      <c r="O86" s="2">
        <f t="shared" si="10"/>
        <v>0</v>
      </c>
    </row>
    <row r="87" spans="1:15" x14ac:dyDescent="0.35">
      <c r="A87" s="4" t="s">
        <v>517</v>
      </c>
      <c r="B87" s="4" t="s">
        <v>518</v>
      </c>
      <c r="C87" s="4">
        <v>468</v>
      </c>
      <c r="D87" s="16" t="s">
        <v>93</v>
      </c>
      <c r="E87" s="17" t="s">
        <v>17</v>
      </c>
      <c r="F87" s="12">
        <v>24</v>
      </c>
      <c r="G87" s="12">
        <v>6</v>
      </c>
      <c r="H87" s="14"/>
      <c r="I87" s="12">
        <v>1</v>
      </c>
      <c r="J87" s="14"/>
    </row>
    <row r="88" spans="1:15" x14ac:dyDescent="0.35">
      <c r="A88" s="80"/>
      <c r="B88" s="80"/>
      <c r="C88" s="80"/>
      <c r="D88" s="16" t="s">
        <v>93</v>
      </c>
      <c r="E88" s="17" t="s">
        <v>2</v>
      </c>
      <c r="F88" s="12">
        <v>71</v>
      </c>
      <c r="G88" s="12">
        <v>41</v>
      </c>
      <c r="H88" s="14"/>
      <c r="I88" s="12">
        <v>5</v>
      </c>
      <c r="J88" s="14"/>
    </row>
    <row r="89" spans="1:15" x14ac:dyDescent="0.35">
      <c r="A89" s="80"/>
      <c r="B89" s="80"/>
      <c r="C89" s="80"/>
      <c r="D89" s="16" t="s">
        <v>93</v>
      </c>
      <c r="E89" s="17" t="s">
        <v>3</v>
      </c>
      <c r="F89" s="12">
        <v>58</v>
      </c>
      <c r="G89" s="12">
        <v>7</v>
      </c>
      <c r="H89" s="14"/>
      <c r="I89" s="12">
        <v>3</v>
      </c>
      <c r="J89" s="14"/>
    </row>
    <row r="90" spans="1:15" x14ac:dyDescent="0.35">
      <c r="A90" s="80"/>
      <c r="B90" s="80"/>
      <c r="C90" s="80"/>
      <c r="D90" s="16" t="s">
        <v>93</v>
      </c>
      <c r="E90" s="17" t="s">
        <v>4</v>
      </c>
      <c r="F90" s="12">
        <v>48</v>
      </c>
      <c r="G90" s="12">
        <v>18</v>
      </c>
      <c r="H90" s="12">
        <v>6</v>
      </c>
      <c r="I90" s="12">
        <v>7</v>
      </c>
      <c r="J90" s="14"/>
    </row>
    <row r="91" spans="1:15" x14ac:dyDescent="0.35">
      <c r="A91" s="80"/>
      <c r="B91" s="80"/>
      <c r="C91" s="80"/>
      <c r="D91" s="16" t="s">
        <v>93</v>
      </c>
      <c r="E91" s="17" t="s">
        <v>5</v>
      </c>
      <c r="F91" s="12">
        <v>36</v>
      </c>
      <c r="G91" s="12">
        <v>47</v>
      </c>
      <c r="H91" s="12">
        <v>1</v>
      </c>
      <c r="I91" s="12">
        <v>5</v>
      </c>
      <c r="J91" s="14"/>
      <c r="K91" s="2">
        <f>SUM(F87:F91)</f>
        <v>237</v>
      </c>
      <c r="L91" s="2">
        <f t="shared" ref="L91:O91" si="11">SUM(G87:G91)</f>
        <v>119</v>
      </c>
      <c r="M91" s="2">
        <f t="shared" si="11"/>
        <v>7</v>
      </c>
      <c r="N91" s="2">
        <f t="shared" si="11"/>
        <v>21</v>
      </c>
      <c r="O91" s="2">
        <f t="shared" si="11"/>
        <v>0</v>
      </c>
    </row>
    <row r="92" spans="1:15" x14ac:dyDescent="0.35">
      <c r="A92" s="9" t="s">
        <v>519</v>
      </c>
      <c r="B92" s="9" t="s">
        <v>520</v>
      </c>
      <c r="C92" s="9">
        <v>371</v>
      </c>
      <c r="D92" s="16" t="s">
        <v>94</v>
      </c>
      <c r="E92" s="17" t="s">
        <v>17</v>
      </c>
      <c r="F92" s="13">
        <v>58</v>
      </c>
      <c r="G92" s="13">
        <v>17</v>
      </c>
      <c r="H92" s="13">
        <v>6</v>
      </c>
      <c r="I92" s="15"/>
      <c r="J92" s="15"/>
    </row>
    <row r="93" spans="1:15" x14ac:dyDescent="0.35">
      <c r="A93" s="74"/>
      <c r="B93" s="74"/>
      <c r="C93" s="74"/>
      <c r="D93" s="16" t="s">
        <v>94</v>
      </c>
      <c r="E93" s="17" t="s">
        <v>2</v>
      </c>
      <c r="F93" s="13">
        <v>41</v>
      </c>
      <c r="G93" s="13">
        <v>20</v>
      </c>
      <c r="H93" s="13">
        <v>5</v>
      </c>
      <c r="I93" s="15"/>
      <c r="J93" s="15"/>
    </row>
    <row r="94" spans="1:15" x14ac:dyDescent="0.35">
      <c r="A94" s="74"/>
      <c r="B94" s="74"/>
      <c r="C94" s="74"/>
      <c r="D94" s="16" t="s">
        <v>94</v>
      </c>
      <c r="E94" s="17" t="s">
        <v>3</v>
      </c>
      <c r="F94" s="13">
        <v>59</v>
      </c>
      <c r="G94" s="13">
        <v>20</v>
      </c>
      <c r="H94" s="13">
        <v>1</v>
      </c>
      <c r="I94" s="13">
        <v>4</v>
      </c>
      <c r="J94" s="15"/>
    </row>
    <row r="95" spans="1:15" x14ac:dyDescent="0.35">
      <c r="A95" s="74"/>
      <c r="B95" s="74"/>
      <c r="C95" s="74"/>
      <c r="D95" s="16" t="s">
        <v>94</v>
      </c>
      <c r="E95" s="17" t="s">
        <v>4</v>
      </c>
      <c r="F95" s="13">
        <v>36</v>
      </c>
      <c r="G95" s="13">
        <v>13</v>
      </c>
      <c r="H95" s="15"/>
      <c r="I95" s="13">
        <v>1</v>
      </c>
      <c r="J95" s="15"/>
      <c r="K95" s="2">
        <f>SUM(F92:F95)</f>
        <v>194</v>
      </c>
      <c r="L95" s="2">
        <f t="shared" ref="L95:O95" si="12">SUM(G92:G95)</f>
        <v>70</v>
      </c>
      <c r="M95" s="2">
        <f t="shared" si="12"/>
        <v>12</v>
      </c>
      <c r="N95" s="2">
        <f t="shared" si="12"/>
        <v>5</v>
      </c>
      <c r="O95" s="2">
        <f t="shared" si="12"/>
        <v>0</v>
      </c>
    </row>
    <row r="96" spans="1:15" x14ac:dyDescent="0.35">
      <c r="A96" s="4" t="s">
        <v>521</v>
      </c>
      <c r="B96" s="4" t="s">
        <v>522</v>
      </c>
      <c r="C96" s="4">
        <v>696</v>
      </c>
      <c r="D96" s="16" t="s">
        <v>95</v>
      </c>
      <c r="E96" s="17" t="s">
        <v>17</v>
      </c>
      <c r="F96" s="12">
        <v>33</v>
      </c>
      <c r="G96" s="12">
        <v>8</v>
      </c>
      <c r="H96" s="12">
        <v>1</v>
      </c>
      <c r="I96" s="12">
        <v>1</v>
      </c>
      <c r="J96" s="14"/>
    </row>
    <row r="97" spans="1:15" x14ac:dyDescent="0.35">
      <c r="A97" s="80"/>
      <c r="B97" s="80"/>
      <c r="C97" s="80"/>
      <c r="D97" s="16" t="s">
        <v>95</v>
      </c>
      <c r="E97" s="17" t="s">
        <v>2</v>
      </c>
      <c r="F97" s="12">
        <v>53</v>
      </c>
      <c r="G97" s="12">
        <v>49</v>
      </c>
      <c r="H97" s="12">
        <v>2</v>
      </c>
      <c r="I97" s="12">
        <v>6</v>
      </c>
      <c r="J97" s="14"/>
    </row>
    <row r="98" spans="1:15" x14ac:dyDescent="0.35">
      <c r="A98" s="80"/>
      <c r="B98" s="80"/>
      <c r="C98" s="80"/>
      <c r="D98" s="16" t="s">
        <v>95</v>
      </c>
      <c r="E98" s="17" t="s">
        <v>3</v>
      </c>
      <c r="F98" s="12">
        <v>35</v>
      </c>
      <c r="G98" s="12">
        <v>4</v>
      </c>
      <c r="H98" s="12">
        <v>2</v>
      </c>
      <c r="I98" s="14"/>
      <c r="J98" s="14"/>
    </row>
    <row r="99" spans="1:15" x14ac:dyDescent="0.35">
      <c r="A99" s="80"/>
      <c r="B99" s="80"/>
      <c r="C99" s="80"/>
      <c r="D99" s="16" t="s">
        <v>95</v>
      </c>
      <c r="E99" s="17" t="s">
        <v>4</v>
      </c>
      <c r="F99" s="12">
        <v>42</v>
      </c>
      <c r="G99" s="12">
        <v>25</v>
      </c>
      <c r="H99" s="12">
        <v>3</v>
      </c>
      <c r="I99" s="12">
        <v>6</v>
      </c>
      <c r="J99" s="14"/>
    </row>
    <row r="100" spans="1:15" x14ac:dyDescent="0.35">
      <c r="A100" s="80"/>
      <c r="B100" s="80"/>
      <c r="C100" s="80"/>
      <c r="D100" s="16" t="s">
        <v>95</v>
      </c>
      <c r="E100" s="17" t="s">
        <v>5</v>
      </c>
      <c r="F100" s="12">
        <v>61</v>
      </c>
      <c r="G100" s="12">
        <v>19</v>
      </c>
      <c r="H100" s="12">
        <v>1</v>
      </c>
      <c r="I100" s="12">
        <v>5</v>
      </c>
      <c r="J100" s="14"/>
    </row>
    <row r="101" spans="1:15" x14ac:dyDescent="0.35">
      <c r="A101" s="80"/>
      <c r="B101" s="80"/>
      <c r="C101" s="80"/>
      <c r="D101" s="16" t="s">
        <v>95</v>
      </c>
      <c r="E101" s="17" t="s">
        <v>6</v>
      </c>
      <c r="F101" s="12">
        <v>25</v>
      </c>
      <c r="G101" s="12">
        <v>4</v>
      </c>
      <c r="H101" s="12">
        <v>1</v>
      </c>
      <c r="I101" s="12">
        <v>1</v>
      </c>
      <c r="J101" s="14"/>
    </row>
    <row r="102" spans="1:15" x14ac:dyDescent="0.35">
      <c r="A102" s="80"/>
      <c r="B102" s="80"/>
      <c r="C102" s="80"/>
      <c r="D102" s="16" t="s">
        <v>95</v>
      </c>
      <c r="E102" s="17" t="s">
        <v>7</v>
      </c>
      <c r="F102" s="12">
        <v>83</v>
      </c>
      <c r="G102" s="12">
        <v>8</v>
      </c>
      <c r="H102" s="12">
        <v>3</v>
      </c>
      <c r="I102" s="12">
        <v>4</v>
      </c>
      <c r="J102" s="14"/>
    </row>
    <row r="103" spans="1:15" x14ac:dyDescent="0.35">
      <c r="A103" s="80"/>
      <c r="B103" s="80"/>
      <c r="C103" s="80"/>
      <c r="D103" s="16" t="s">
        <v>95</v>
      </c>
      <c r="E103" s="17" t="s">
        <v>8</v>
      </c>
      <c r="F103" s="12">
        <v>55</v>
      </c>
      <c r="G103" s="12">
        <v>4</v>
      </c>
      <c r="H103" s="14"/>
      <c r="I103" s="12">
        <v>2</v>
      </c>
      <c r="J103" s="14"/>
      <c r="K103" s="2">
        <f>SUM(F96:F103)</f>
        <v>387</v>
      </c>
      <c r="L103" s="2">
        <f t="shared" ref="L103:O103" si="13">SUM(G96:G103)</f>
        <v>121</v>
      </c>
      <c r="M103" s="2">
        <f t="shared" si="13"/>
        <v>13</v>
      </c>
      <c r="N103" s="2">
        <f t="shared" si="13"/>
        <v>25</v>
      </c>
      <c r="O103" s="2">
        <f t="shared" si="13"/>
        <v>0</v>
      </c>
    </row>
    <row r="104" spans="1:15" x14ac:dyDescent="0.35">
      <c r="A104" s="9" t="s">
        <v>523</v>
      </c>
      <c r="B104" s="9" t="s">
        <v>524</v>
      </c>
      <c r="C104" s="9">
        <v>1021</v>
      </c>
      <c r="D104" s="16" t="s">
        <v>96</v>
      </c>
      <c r="E104" s="17" t="s">
        <v>17</v>
      </c>
      <c r="F104" s="13">
        <v>69</v>
      </c>
      <c r="G104" s="13">
        <v>18</v>
      </c>
      <c r="H104" s="13">
        <v>1</v>
      </c>
      <c r="I104" s="13">
        <v>3</v>
      </c>
      <c r="J104" s="15"/>
    </row>
    <row r="105" spans="1:15" x14ac:dyDescent="0.35">
      <c r="A105" s="74"/>
      <c r="B105" s="74"/>
      <c r="C105" s="74"/>
      <c r="D105" s="16" t="s">
        <v>96</v>
      </c>
      <c r="E105" s="17" t="s">
        <v>2</v>
      </c>
      <c r="F105" s="13">
        <v>66</v>
      </c>
      <c r="G105" s="13">
        <v>29</v>
      </c>
      <c r="H105" s="13">
        <v>6</v>
      </c>
      <c r="I105" s="15"/>
      <c r="J105" s="15"/>
    </row>
    <row r="106" spans="1:15" x14ac:dyDescent="0.35">
      <c r="A106" s="74"/>
      <c r="B106" s="74"/>
      <c r="C106" s="74"/>
      <c r="D106" s="16" t="s">
        <v>96</v>
      </c>
      <c r="E106" s="17" t="s">
        <v>3</v>
      </c>
      <c r="F106" s="13">
        <v>156</v>
      </c>
      <c r="G106" s="13">
        <v>49</v>
      </c>
      <c r="H106" s="13">
        <v>3</v>
      </c>
      <c r="I106" s="13">
        <v>7</v>
      </c>
      <c r="J106" s="15"/>
    </row>
    <row r="107" spans="1:15" x14ac:dyDescent="0.35">
      <c r="A107" s="74"/>
      <c r="B107" s="74"/>
      <c r="C107" s="74"/>
      <c r="D107" s="16" t="s">
        <v>96</v>
      </c>
      <c r="E107" s="17" t="s">
        <v>4</v>
      </c>
      <c r="F107" s="13">
        <v>135</v>
      </c>
      <c r="G107" s="13">
        <v>38</v>
      </c>
      <c r="H107" s="13">
        <v>3</v>
      </c>
      <c r="I107" s="13">
        <v>9</v>
      </c>
      <c r="J107" s="15"/>
    </row>
    <row r="108" spans="1:15" x14ac:dyDescent="0.35">
      <c r="A108" s="74"/>
      <c r="B108" s="74"/>
      <c r="C108" s="74"/>
      <c r="D108" s="16" t="s">
        <v>96</v>
      </c>
      <c r="E108" s="17" t="s">
        <v>5</v>
      </c>
      <c r="F108" s="13">
        <v>63</v>
      </c>
      <c r="G108" s="13">
        <v>62</v>
      </c>
      <c r="H108" s="13">
        <v>3</v>
      </c>
      <c r="I108" s="13">
        <v>6</v>
      </c>
      <c r="J108" s="15"/>
      <c r="K108" s="2">
        <f>SUM(F104:F108)</f>
        <v>489</v>
      </c>
      <c r="L108" s="2">
        <f t="shared" ref="L108:O108" si="14">SUM(G104:G108)</f>
        <v>196</v>
      </c>
      <c r="M108" s="2">
        <f t="shared" si="14"/>
        <v>16</v>
      </c>
      <c r="N108" s="2">
        <f t="shared" si="14"/>
        <v>25</v>
      </c>
      <c r="O108" s="2">
        <f t="shared" si="14"/>
        <v>0</v>
      </c>
    </row>
    <row r="109" spans="1:15" x14ac:dyDescent="0.35">
      <c r="A109" s="4" t="s">
        <v>308</v>
      </c>
      <c r="B109" s="4" t="s">
        <v>309</v>
      </c>
      <c r="C109" s="4">
        <v>2092</v>
      </c>
      <c r="D109" s="16" t="s">
        <v>97</v>
      </c>
      <c r="E109" s="17" t="s">
        <v>17</v>
      </c>
      <c r="F109" s="12">
        <v>84</v>
      </c>
      <c r="G109" s="12">
        <v>23</v>
      </c>
      <c r="H109" s="12">
        <v>4</v>
      </c>
      <c r="I109" s="12">
        <v>2</v>
      </c>
      <c r="J109" s="14"/>
    </row>
    <row r="110" spans="1:15" x14ac:dyDescent="0.35">
      <c r="A110" s="80"/>
      <c r="B110" s="80"/>
      <c r="C110" s="80"/>
      <c r="D110" s="16" t="s">
        <v>97</v>
      </c>
      <c r="E110" s="17" t="s">
        <v>2</v>
      </c>
      <c r="F110" s="12">
        <v>42</v>
      </c>
      <c r="G110" s="12">
        <v>23</v>
      </c>
      <c r="H110" s="14"/>
      <c r="I110" s="12">
        <v>2</v>
      </c>
      <c r="J110" s="14"/>
    </row>
    <row r="111" spans="1:15" x14ac:dyDescent="0.35">
      <c r="A111" s="80"/>
      <c r="B111" s="80"/>
      <c r="C111" s="80"/>
      <c r="D111" s="16" t="s">
        <v>97</v>
      </c>
      <c r="E111" s="17" t="s">
        <v>3</v>
      </c>
      <c r="F111" s="12">
        <v>85</v>
      </c>
      <c r="G111" s="12">
        <v>39</v>
      </c>
      <c r="H111" s="14"/>
      <c r="I111" s="12">
        <v>5</v>
      </c>
      <c r="J111" s="14"/>
    </row>
    <row r="112" spans="1:15" x14ac:dyDescent="0.35">
      <c r="A112" s="80"/>
      <c r="B112" s="80"/>
      <c r="C112" s="80"/>
      <c r="D112" s="16" t="s">
        <v>97</v>
      </c>
      <c r="E112" s="17" t="s">
        <v>4</v>
      </c>
      <c r="F112" s="12">
        <v>64</v>
      </c>
      <c r="G112" s="12">
        <v>50</v>
      </c>
      <c r="H112" s="12">
        <v>1</v>
      </c>
      <c r="I112" s="12">
        <v>8</v>
      </c>
      <c r="J112" s="14"/>
    </row>
    <row r="113" spans="1:15" x14ac:dyDescent="0.35">
      <c r="A113" s="80"/>
      <c r="B113" s="80"/>
      <c r="C113" s="80"/>
      <c r="D113" s="16" t="s">
        <v>97</v>
      </c>
      <c r="E113" s="17" t="s">
        <v>5</v>
      </c>
      <c r="F113" s="12">
        <v>159</v>
      </c>
      <c r="G113" s="12">
        <v>56</v>
      </c>
      <c r="H113" s="12">
        <v>1</v>
      </c>
      <c r="I113" s="12">
        <v>9</v>
      </c>
      <c r="J113" s="12">
        <v>1</v>
      </c>
    </row>
    <row r="114" spans="1:15" x14ac:dyDescent="0.35">
      <c r="A114" s="80"/>
      <c r="B114" s="80"/>
      <c r="C114" s="80"/>
      <c r="D114" s="16" t="s">
        <v>97</v>
      </c>
      <c r="E114" s="17" t="s">
        <v>6</v>
      </c>
      <c r="F114" s="12">
        <v>189</v>
      </c>
      <c r="G114" s="12">
        <v>83</v>
      </c>
      <c r="H114" s="12">
        <v>2</v>
      </c>
      <c r="I114" s="12">
        <v>5</v>
      </c>
      <c r="J114" s="14"/>
    </row>
    <row r="115" spans="1:15" x14ac:dyDescent="0.35">
      <c r="A115" s="80"/>
      <c r="B115" s="80"/>
      <c r="C115" s="80"/>
      <c r="D115" s="16" t="s">
        <v>97</v>
      </c>
      <c r="E115" s="17" t="s">
        <v>7</v>
      </c>
      <c r="F115" s="12">
        <v>49</v>
      </c>
      <c r="G115" s="12">
        <v>22</v>
      </c>
      <c r="H115" s="12">
        <v>1</v>
      </c>
      <c r="I115" s="14"/>
      <c r="J115" s="14"/>
    </row>
    <row r="116" spans="1:15" x14ac:dyDescent="0.35">
      <c r="A116" s="80"/>
      <c r="B116" s="80"/>
      <c r="C116" s="80"/>
      <c r="D116" s="16" t="s">
        <v>97</v>
      </c>
      <c r="E116" s="17" t="s">
        <v>8</v>
      </c>
      <c r="F116" s="12">
        <v>98</v>
      </c>
      <c r="G116" s="12">
        <v>52</v>
      </c>
      <c r="H116" s="12">
        <v>4</v>
      </c>
      <c r="I116" s="12">
        <v>8</v>
      </c>
      <c r="J116" s="14"/>
    </row>
    <row r="117" spans="1:15" x14ac:dyDescent="0.35">
      <c r="A117" s="80"/>
      <c r="B117" s="80"/>
      <c r="C117" s="80"/>
      <c r="D117" s="16" t="s">
        <v>97</v>
      </c>
      <c r="E117" s="17" t="s">
        <v>9</v>
      </c>
      <c r="F117" s="12">
        <v>164</v>
      </c>
      <c r="G117" s="12">
        <v>95</v>
      </c>
      <c r="H117" s="12">
        <v>5</v>
      </c>
      <c r="I117" s="12">
        <v>10</v>
      </c>
      <c r="J117" s="14"/>
      <c r="K117" s="2">
        <f>SUM(F109:F117)</f>
        <v>934</v>
      </c>
      <c r="L117" s="2">
        <f t="shared" ref="L117:O117" si="15">SUM(G109:G117)</f>
        <v>443</v>
      </c>
      <c r="M117" s="2">
        <f t="shared" si="15"/>
        <v>18</v>
      </c>
      <c r="N117" s="2">
        <f t="shared" si="15"/>
        <v>49</v>
      </c>
      <c r="O117" s="2">
        <f t="shared" si="15"/>
        <v>1</v>
      </c>
    </row>
    <row r="118" spans="1:15" x14ac:dyDescent="0.35">
      <c r="A118" s="81"/>
      <c r="B118" s="81" t="s">
        <v>730</v>
      </c>
      <c r="C118" s="81">
        <f>SUM(C5:C109)</f>
        <v>21051</v>
      </c>
      <c r="D118" s="304" t="s">
        <v>231</v>
      </c>
      <c r="E118" s="305"/>
      <c r="F118" s="20">
        <f>SUM(F5:F117)</f>
        <v>8587</v>
      </c>
      <c r="G118" s="20">
        <f>SUM(G5:G117)</f>
        <v>3562</v>
      </c>
      <c r="H118" s="20">
        <f>SUM(H5:H117)</f>
        <v>321</v>
      </c>
      <c r="I118" s="20">
        <f>SUM(I5:I117)</f>
        <v>472</v>
      </c>
      <c r="J118" s="20">
        <f>SUM(J5:J117)</f>
        <v>11</v>
      </c>
    </row>
    <row r="119" spans="1:15" x14ac:dyDescent="0.35">
      <c r="B119" s="18" t="s">
        <v>731</v>
      </c>
      <c r="C119" s="82">
        <f>SUM(C118,F118,G118,H118,I118,J118)</f>
        <v>34004</v>
      </c>
    </row>
  </sheetData>
  <mergeCells count="6">
    <mergeCell ref="D118:E118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zoomScale="90" zoomScaleNormal="9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G153" sqref="G153"/>
    </sheetView>
  </sheetViews>
  <sheetFormatPr defaultRowHeight="21" x14ac:dyDescent="0.35"/>
  <cols>
    <col min="1" max="1" width="12.42578125" style="2" customWidth="1"/>
    <col min="2" max="2" width="18.42578125" style="2" customWidth="1"/>
    <col min="3" max="3" width="20.7109375" style="95" customWidth="1"/>
    <col min="4" max="4" width="14" style="2" customWidth="1"/>
    <col min="5" max="5" width="9.140625" style="22"/>
    <col min="6" max="6" width="14.28515625" style="22" customWidth="1"/>
    <col min="7" max="7" width="14.5703125" style="22" customWidth="1"/>
    <col min="8" max="8" width="9.85546875" style="22" customWidth="1"/>
    <col min="9" max="9" width="20.28515625" style="22" customWidth="1"/>
    <col min="10" max="10" width="13.140625" style="22" customWidth="1"/>
    <col min="11" max="16384" width="9.140625" style="2"/>
  </cols>
  <sheetData>
    <row r="1" spans="1:10" x14ac:dyDescent="0.35">
      <c r="A1" s="302" t="s">
        <v>732</v>
      </c>
      <c r="B1" s="302"/>
      <c r="C1" s="302"/>
      <c r="D1" s="298" t="s">
        <v>247</v>
      </c>
      <c r="E1" s="298"/>
      <c r="F1" s="298"/>
      <c r="G1" s="298"/>
      <c r="H1" s="298"/>
      <c r="I1" s="298"/>
      <c r="J1" s="298"/>
    </row>
    <row r="2" spans="1:10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0" x14ac:dyDescent="0.35">
      <c r="D3" s="44"/>
      <c r="E3" s="44"/>
      <c r="F3" s="303" t="s">
        <v>718</v>
      </c>
      <c r="G3" s="303"/>
      <c r="H3" s="303"/>
      <c r="I3" s="303"/>
      <c r="J3" s="303"/>
    </row>
    <row r="4" spans="1:10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246</v>
      </c>
      <c r="J4" s="19" t="s">
        <v>221</v>
      </c>
    </row>
    <row r="5" spans="1:10" x14ac:dyDescent="0.35">
      <c r="A5" s="9" t="s">
        <v>525</v>
      </c>
      <c r="B5" s="9" t="s">
        <v>526</v>
      </c>
      <c r="C5" s="97">
        <v>8657</v>
      </c>
      <c r="D5" s="16" t="s">
        <v>98</v>
      </c>
      <c r="E5" s="17" t="s">
        <v>0</v>
      </c>
      <c r="F5" s="13">
        <v>4</v>
      </c>
      <c r="G5" s="13">
        <v>18</v>
      </c>
      <c r="H5" s="15"/>
      <c r="I5" s="13">
        <v>1</v>
      </c>
      <c r="J5" s="13">
        <v>7</v>
      </c>
    </row>
    <row r="6" spans="1:10" x14ac:dyDescent="0.35">
      <c r="A6" s="74"/>
      <c r="B6" s="74"/>
      <c r="C6" s="98"/>
      <c r="D6" s="16" t="s">
        <v>98</v>
      </c>
      <c r="E6" s="17" t="s">
        <v>17</v>
      </c>
      <c r="F6" s="13">
        <v>187</v>
      </c>
      <c r="G6" s="13">
        <v>48</v>
      </c>
      <c r="H6" s="13">
        <v>6</v>
      </c>
      <c r="I6" s="13">
        <v>10</v>
      </c>
      <c r="J6" s="15"/>
    </row>
    <row r="7" spans="1:10" x14ac:dyDescent="0.35">
      <c r="A7" s="74"/>
      <c r="B7" s="74"/>
      <c r="C7" s="98"/>
      <c r="D7" s="16" t="s">
        <v>98</v>
      </c>
      <c r="E7" s="17" t="s">
        <v>2</v>
      </c>
      <c r="F7" s="13">
        <v>259</v>
      </c>
      <c r="G7" s="13">
        <v>45</v>
      </c>
      <c r="H7" s="13">
        <v>7</v>
      </c>
      <c r="I7" s="13">
        <v>7</v>
      </c>
      <c r="J7" s="15"/>
    </row>
    <row r="8" spans="1:10" x14ac:dyDescent="0.35">
      <c r="A8" s="74"/>
      <c r="B8" s="74"/>
      <c r="C8" s="98"/>
      <c r="D8" s="16" t="s">
        <v>98</v>
      </c>
      <c r="E8" s="17" t="s">
        <v>3</v>
      </c>
      <c r="F8" s="13">
        <v>529</v>
      </c>
      <c r="G8" s="13">
        <v>175</v>
      </c>
      <c r="H8" s="13">
        <v>27</v>
      </c>
      <c r="I8" s="13">
        <v>22</v>
      </c>
      <c r="J8" s="15"/>
    </row>
    <row r="9" spans="1:10" x14ac:dyDescent="0.35">
      <c r="A9" s="74"/>
      <c r="B9" s="74"/>
      <c r="C9" s="98"/>
      <c r="D9" s="16" t="s">
        <v>98</v>
      </c>
      <c r="E9" s="17" t="s">
        <v>4</v>
      </c>
      <c r="F9" s="13">
        <v>298</v>
      </c>
      <c r="G9" s="13">
        <v>117</v>
      </c>
      <c r="H9" s="13">
        <v>8</v>
      </c>
      <c r="I9" s="13">
        <v>13</v>
      </c>
      <c r="J9" s="15"/>
    </row>
    <row r="10" spans="1:10" x14ac:dyDescent="0.35">
      <c r="A10" s="74"/>
      <c r="B10" s="74"/>
      <c r="C10" s="98"/>
      <c r="D10" s="16" t="s">
        <v>98</v>
      </c>
      <c r="E10" s="17" t="s">
        <v>5</v>
      </c>
      <c r="F10" s="13">
        <v>165</v>
      </c>
      <c r="G10" s="13">
        <v>107</v>
      </c>
      <c r="H10" s="13">
        <v>2</v>
      </c>
      <c r="I10" s="13">
        <v>8</v>
      </c>
      <c r="J10" s="13">
        <v>1</v>
      </c>
    </row>
    <row r="11" spans="1:10" x14ac:dyDescent="0.35">
      <c r="A11" s="74"/>
      <c r="B11" s="74"/>
      <c r="C11" s="98"/>
      <c r="D11" s="16" t="s">
        <v>98</v>
      </c>
      <c r="E11" s="17" t="s">
        <v>6</v>
      </c>
      <c r="F11" s="13">
        <v>430</v>
      </c>
      <c r="G11" s="13">
        <v>332</v>
      </c>
      <c r="H11" s="13">
        <v>20</v>
      </c>
      <c r="I11" s="13">
        <v>23</v>
      </c>
      <c r="J11" s="13">
        <v>1</v>
      </c>
    </row>
    <row r="12" spans="1:10" x14ac:dyDescent="0.35">
      <c r="A12" s="74"/>
      <c r="B12" s="74"/>
      <c r="C12" s="98"/>
      <c r="D12" s="16" t="s">
        <v>98</v>
      </c>
      <c r="E12" s="17" t="s">
        <v>7</v>
      </c>
      <c r="F12" s="13">
        <v>150</v>
      </c>
      <c r="G12" s="13">
        <v>64</v>
      </c>
      <c r="H12" s="13">
        <v>5</v>
      </c>
      <c r="I12" s="13">
        <v>7</v>
      </c>
      <c r="J12" s="15"/>
    </row>
    <row r="13" spans="1:10" x14ac:dyDescent="0.35">
      <c r="A13" s="74"/>
      <c r="B13" s="74"/>
      <c r="C13" s="98"/>
      <c r="D13" s="16" t="s">
        <v>98</v>
      </c>
      <c r="E13" s="17" t="s">
        <v>8</v>
      </c>
      <c r="F13" s="13">
        <v>109</v>
      </c>
      <c r="G13" s="13">
        <v>73</v>
      </c>
      <c r="H13" s="13">
        <v>4</v>
      </c>
      <c r="I13" s="13">
        <v>10</v>
      </c>
      <c r="J13" s="13">
        <v>1</v>
      </c>
    </row>
    <row r="14" spans="1:10" x14ac:dyDescent="0.35">
      <c r="A14" s="74"/>
      <c r="B14" s="74"/>
      <c r="C14" s="98"/>
      <c r="D14" s="16" t="s">
        <v>98</v>
      </c>
      <c r="E14" s="17" t="s">
        <v>9</v>
      </c>
      <c r="F14" s="13">
        <v>314</v>
      </c>
      <c r="G14" s="13">
        <v>121</v>
      </c>
      <c r="H14" s="13">
        <v>3</v>
      </c>
      <c r="I14" s="13">
        <v>9</v>
      </c>
      <c r="J14" s="15"/>
    </row>
    <row r="15" spans="1:10" x14ac:dyDescent="0.35">
      <c r="A15" s="74"/>
      <c r="B15" s="74"/>
      <c r="C15" s="98"/>
      <c r="D15" s="16" t="s">
        <v>98</v>
      </c>
      <c r="E15" s="17" t="s">
        <v>11</v>
      </c>
      <c r="F15" s="13">
        <v>263</v>
      </c>
      <c r="G15" s="13">
        <v>44</v>
      </c>
      <c r="H15" s="13">
        <v>7</v>
      </c>
      <c r="I15" s="13">
        <v>10</v>
      </c>
      <c r="J15" s="15"/>
    </row>
    <row r="16" spans="1:10" x14ac:dyDescent="0.35">
      <c r="A16" s="74"/>
      <c r="B16" s="74"/>
      <c r="C16" s="98"/>
      <c r="D16" s="16" t="s">
        <v>98</v>
      </c>
      <c r="E16" s="17" t="s">
        <v>12</v>
      </c>
      <c r="F16" s="13">
        <v>508</v>
      </c>
      <c r="G16" s="13">
        <v>129</v>
      </c>
      <c r="H16" s="13">
        <v>14</v>
      </c>
      <c r="I16" s="13">
        <v>19</v>
      </c>
      <c r="J16" s="13">
        <v>1</v>
      </c>
    </row>
    <row r="17" spans="1:15" x14ac:dyDescent="0.35">
      <c r="A17" s="74"/>
      <c r="B17" s="74"/>
      <c r="C17" s="98"/>
      <c r="D17" s="16" t="s">
        <v>98</v>
      </c>
      <c r="E17" s="17" t="s">
        <v>13</v>
      </c>
      <c r="F17" s="13">
        <v>180</v>
      </c>
      <c r="G17" s="13">
        <v>51</v>
      </c>
      <c r="H17" s="13">
        <v>7</v>
      </c>
      <c r="I17" s="13">
        <v>5</v>
      </c>
      <c r="J17" s="15"/>
    </row>
    <row r="18" spans="1:15" x14ac:dyDescent="0.35">
      <c r="A18" s="74"/>
      <c r="B18" s="74"/>
      <c r="C18" s="98"/>
      <c r="D18" s="16" t="s">
        <v>98</v>
      </c>
      <c r="E18" s="17" t="s">
        <v>15</v>
      </c>
      <c r="F18" s="13">
        <v>2</v>
      </c>
      <c r="G18" s="13">
        <v>8</v>
      </c>
      <c r="H18" s="15"/>
      <c r="I18" s="15"/>
      <c r="J18" s="15"/>
      <c r="K18" s="2">
        <f>SUM(F5:F18)</f>
        <v>3398</v>
      </c>
      <c r="L18" s="2">
        <f t="shared" ref="L18:O18" si="0">SUM(G5:G18)</f>
        <v>1332</v>
      </c>
      <c r="M18" s="2">
        <f t="shared" si="0"/>
        <v>110</v>
      </c>
      <c r="N18" s="2">
        <f t="shared" si="0"/>
        <v>144</v>
      </c>
      <c r="O18" s="2">
        <f t="shared" si="0"/>
        <v>11</v>
      </c>
    </row>
    <row r="19" spans="1:15" x14ac:dyDescent="0.35">
      <c r="A19" s="4" t="s">
        <v>527</v>
      </c>
      <c r="B19" s="4" t="s">
        <v>528</v>
      </c>
      <c r="C19" s="99">
        <v>2026</v>
      </c>
      <c r="D19" s="16" t="s">
        <v>80</v>
      </c>
      <c r="E19" s="17">
        <v>0</v>
      </c>
      <c r="F19" s="12"/>
      <c r="G19" s="12"/>
      <c r="H19" s="14"/>
      <c r="I19" s="12">
        <v>3</v>
      </c>
      <c r="J19" s="14"/>
    </row>
    <row r="20" spans="1:15" x14ac:dyDescent="0.35">
      <c r="A20" s="4" t="s">
        <v>529</v>
      </c>
      <c r="B20" s="4" t="s">
        <v>502</v>
      </c>
      <c r="C20" s="99">
        <v>9921</v>
      </c>
      <c r="D20" s="16" t="s">
        <v>80</v>
      </c>
      <c r="E20" s="17" t="s">
        <v>17</v>
      </c>
      <c r="F20" s="12">
        <v>168</v>
      </c>
      <c r="G20" s="12">
        <v>20</v>
      </c>
      <c r="H20" s="12">
        <v>2</v>
      </c>
      <c r="I20" s="12">
        <v>10</v>
      </c>
      <c r="J20" s="14"/>
    </row>
    <row r="21" spans="1:15" x14ac:dyDescent="0.35">
      <c r="A21" s="80"/>
      <c r="B21" s="80"/>
      <c r="C21" s="100"/>
      <c r="D21" s="16" t="s">
        <v>80</v>
      </c>
      <c r="E21" s="17" t="s">
        <v>2</v>
      </c>
      <c r="F21" s="12">
        <v>117</v>
      </c>
      <c r="G21" s="12">
        <v>14</v>
      </c>
      <c r="H21" s="14"/>
      <c r="I21" s="12">
        <v>3</v>
      </c>
      <c r="J21" s="12">
        <v>1</v>
      </c>
    </row>
    <row r="22" spans="1:15" x14ac:dyDescent="0.35">
      <c r="A22" s="80"/>
      <c r="B22" s="80"/>
      <c r="C22" s="100"/>
      <c r="D22" s="16" t="s">
        <v>80</v>
      </c>
      <c r="E22" s="17" t="s">
        <v>3</v>
      </c>
      <c r="F22" s="12">
        <v>296</v>
      </c>
      <c r="G22" s="12">
        <v>36</v>
      </c>
      <c r="H22" s="12">
        <v>6</v>
      </c>
      <c r="I22" s="12">
        <v>12</v>
      </c>
      <c r="J22" s="12">
        <v>1</v>
      </c>
    </row>
    <row r="23" spans="1:15" x14ac:dyDescent="0.35">
      <c r="A23" s="80"/>
      <c r="B23" s="80"/>
      <c r="C23" s="100"/>
      <c r="D23" s="16" t="s">
        <v>80</v>
      </c>
      <c r="E23" s="17" t="s">
        <v>4</v>
      </c>
      <c r="F23" s="12">
        <v>183</v>
      </c>
      <c r="G23" s="12">
        <v>33</v>
      </c>
      <c r="H23" s="12">
        <v>1</v>
      </c>
      <c r="I23" s="12">
        <v>7</v>
      </c>
      <c r="J23" s="12">
        <v>1</v>
      </c>
    </row>
    <row r="24" spans="1:15" x14ac:dyDescent="0.35">
      <c r="A24" s="80"/>
      <c r="B24" s="80"/>
      <c r="C24" s="100"/>
      <c r="D24" s="16" t="s">
        <v>80</v>
      </c>
      <c r="E24" s="17" t="s">
        <v>5</v>
      </c>
      <c r="F24" s="12">
        <v>139</v>
      </c>
      <c r="G24" s="12">
        <v>23</v>
      </c>
      <c r="H24" s="12">
        <v>5</v>
      </c>
      <c r="I24" s="12">
        <v>7</v>
      </c>
      <c r="J24" s="14"/>
    </row>
    <row r="25" spans="1:15" x14ac:dyDescent="0.35">
      <c r="A25" s="80"/>
      <c r="B25" s="80"/>
      <c r="C25" s="100"/>
      <c r="D25" s="16" t="s">
        <v>80</v>
      </c>
      <c r="E25" s="17" t="s">
        <v>6</v>
      </c>
      <c r="F25" s="12">
        <v>627</v>
      </c>
      <c r="G25" s="12">
        <v>103</v>
      </c>
      <c r="H25" s="12">
        <v>17</v>
      </c>
      <c r="I25" s="12">
        <v>19</v>
      </c>
      <c r="J25" s="12">
        <v>1</v>
      </c>
    </row>
    <row r="26" spans="1:15" x14ac:dyDescent="0.35">
      <c r="A26" s="80"/>
      <c r="B26" s="80"/>
      <c r="C26" s="100"/>
      <c r="D26" s="16" t="s">
        <v>80</v>
      </c>
      <c r="E26" s="17" t="s">
        <v>7</v>
      </c>
      <c r="F26" s="12">
        <v>1430</v>
      </c>
      <c r="G26" s="12">
        <v>350</v>
      </c>
      <c r="H26" s="12">
        <v>70</v>
      </c>
      <c r="I26" s="12">
        <v>83</v>
      </c>
      <c r="J26" s="12">
        <v>6</v>
      </c>
    </row>
    <row r="27" spans="1:15" x14ac:dyDescent="0.35">
      <c r="A27" s="80"/>
      <c r="B27" s="80"/>
      <c r="C27" s="100"/>
      <c r="D27" s="16" t="s">
        <v>80</v>
      </c>
      <c r="E27" s="17" t="s">
        <v>8</v>
      </c>
      <c r="F27" s="12">
        <v>570</v>
      </c>
      <c r="G27" s="12">
        <v>80</v>
      </c>
      <c r="H27" s="12">
        <v>15</v>
      </c>
      <c r="I27" s="12">
        <v>20</v>
      </c>
      <c r="J27" s="14"/>
    </row>
    <row r="28" spans="1:15" x14ac:dyDescent="0.35">
      <c r="A28" s="80"/>
      <c r="B28" s="80"/>
      <c r="C28" s="100"/>
      <c r="D28" s="16" t="s">
        <v>80</v>
      </c>
      <c r="E28" s="17" t="s">
        <v>9</v>
      </c>
      <c r="F28" s="12">
        <v>351</v>
      </c>
      <c r="G28" s="12">
        <v>75</v>
      </c>
      <c r="H28" s="12">
        <v>10</v>
      </c>
      <c r="I28" s="12">
        <v>19</v>
      </c>
      <c r="J28" s="14"/>
    </row>
    <row r="29" spans="1:15" x14ac:dyDescent="0.35">
      <c r="A29" s="80"/>
      <c r="B29" s="80"/>
      <c r="C29" s="100"/>
      <c r="D29" s="16" t="s">
        <v>80</v>
      </c>
      <c r="E29" s="17" t="s">
        <v>11</v>
      </c>
      <c r="F29" s="12">
        <v>192</v>
      </c>
      <c r="G29" s="12">
        <v>24</v>
      </c>
      <c r="H29" s="12">
        <v>4</v>
      </c>
      <c r="I29" s="12">
        <v>1</v>
      </c>
      <c r="J29" s="14"/>
    </row>
    <row r="30" spans="1:15" x14ac:dyDescent="0.35">
      <c r="A30" s="80"/>
      <c r="B30" s="80"/>
      <c r="C30" s="100"/>
      <c r="D30" s="16" t="s">
        <v>80</v>
      </c>
      <c r="E30" s="17" t="s">
        <v>12</v>
      </c>
      <c r="F30" s="12">
        <v>200</v>
      </c>
      <c r="G30" s="12">
        <v>31</v>
      </c>
      <c r="H30" s="12">
        <v>3</v>
      </c>
      <c r="I30" s="12">
        <v>4</v>
      </c>
      <c r="J30" s="14"/>
    </row>
    <row r="31" spans="1:15" x14ac:dyDescent="0.35">
      <c r="A31" s="80"/>
      <c r="B31" s="80"/>
      <c r="C31" s="100"/>
      <c r="D31" s="16" t="s">
        <v>80</v>
      </c>
      <c r="E31" s="17" t="s">
        <v>13</v>
      </c>
      <c r="F31" s="12">
        <v>457</v>
      </c>
      <c r="G31" s="12">
        <v>80</v>
      </c>
      <c r="H31" s="12">
        <v>15</v>
      </c>
      <c r="I31" s="12">
        <v>29</v>
      </c>
      <c r="J31" s="12">
        <v>1</v>
      </c>
      <c r="K31" s="2">
        <f>SUM(F20:F31)</f>
        <v>4730</v>
      </c>
      <c r="L31" s="2">
        <f t="shared" ref="L31:O31" si="1">SUM(G20:G31)</f>
        <v>869</v>
      </c>
      <c r="M31" s="2">
        <f t="shared" si="1"/>
        <v>148</v>
      </c>
      <c r="N31" s="2">
        <f t="shared" si="1"/>
        <v>214</v>
      </c>
      <c r="O31" s="2">
        <f t="shared" si="1"/>
        <v>11</v>
      </c>
    </row>
    <row r="32" spans="1:15" x14ac:dyDescent="0.35">
      <c r="A32" s="9" t="s">
        <v>530</v>
      </c>
      <c r="B32" s="9" t="s">
        <v>531</v>
      </c>
      <c r="C32" s="97">
        <v>1580</v>
      </c>
      <c r="D32" s="16" t="s">
        <v>99</v>
      </c>
      <c r="E32" s="17" t="s">
        <v>17</v>
      </c>
      <c r="F32" s="13">
        <v>71</v>
      </c>
      <c r="G32" s="13">
        <v>19</v>
      </c>
      <c r="H32" s="15"/>
      <c r="I32" s="13">
        <v>5</v>
      </c>
      <c r="J32" s="15"/>
    </row>
    <row r="33" spans="1:15" x14ac:dyDescent="0.35">
      <c r="A33" s="74"/>
      <c r="B33" s="74"/>
      <c r="C33" s="98"/>
      <c r="D33" s="16" t="s">
        <v>99</v>
      </c>
      <c r="E33" s="17" t="s">
        <v>2</v>
      </c>
      <c r="F33" s="13">
        <v>86</v>
      </c>
      <c r="G33" s="13">
        <v>64</v>
      </c>
      <c r="H33" s="13">
        <v>10</v>
      </c>
      <c r="I33" s="13">
        <v>7</v>
      </c>
      <c r="J33" s="15"/>
    </row>
    <row r="34" spans="1:15" x14ac:dyDescent="0.35">
      <c r="A34" s="74"/>
      <c r="B34" s="74"/>
      <c r="C34" s="98"/>
      <c r="D34" s="16" t="s">
        <v>99</v>
      </c>
      <c r="E34" s="17" t="s">
        <v>3</v>
      </c>
      <c r="F34" s="13">
        <v>88</v>
      </c>
      <c r="G34" s="13">
        <v>43</v>
      </c>
      <c r="H34" s="13">
        <v>2</v>
      </c>
      <c r="I34" s="13">
        <v>11</v>
      </c>
      <c r="J34" s="15"/>
    </row>
    <row r="35" spans="1:15" x14ac:dyDescent="0.35">
      <c r="A35" s="74"/>
      <c r="B35" s="74"/>
      <c r="C35" s="98"/>
      <c r="D35" s="16" t="s">
        <v>99</v>
      </c>
      <c r="E35" s="17" t="s">
        <v>4</v>
      </c>
      <c r="F35" s="13">
        <v>72</v>
      </c>
      <c r="G35" s="13">
        <v>22</v>
      </c>
      <c r="H35" s="13">
        <v>2</v>
      </c>
      <c r="I35" s="13">
        <v>7</v>
      </c>
      <c r="J35" s="15"/>
    </row>
    <row r="36" spans="1:15" x14ac:dyDescent="0.35">
      <c r="A36" s="74"/>
      <c r="B36" s="74"/>
      <c r="C36" s="98"/>
      <c r="D36" s="16" t="s">
        <v>99</v>
      </c>
      <c r="E36" s="17" t="s">
        <v>5</v>
      </c>
      <c r="F36" s="13">
        <v>108</v>
      </c>
      <c r="G36" s="13">
        <v>36</v>
      </c>
      <c r="H36" s="13">
        <v>1</v>
      </c>
      <c r="I36" s="13">
        <v>6</v>
      </c>
      <c r="J36" s="15"/>
    </row>
    <row r="37" spans="1:15" x14ac:dyDescent="0.35">
      <c r="A37" s="74"/>
      <c r="B37" s="74"/>
      <c r="C37" s="98"/>
      <c r="D37" s="16" t="s">
        <v>99</v>
      </c>
      <c r="E37" s="17" t="s">
        <v>6</v>
      </c>
      <c r="F37" s="13">
        <v>39</v>
      </c>
      <c r="G37" s="13">
        <v>4</v>
      </c>
      <c r="H37" s="15"/>
      <c r="I37" s="13">
        <v>2</v>
      </c>
      <c r="J37" s="15"/>
    </row>
    <row r="38" spans="1:15" x14ac:dyDescent="0.35">
      <c r="A38" s="74"/>
      <c r="B38" s="74"/>
      <c r="C38" s="98"/>
      <c r="D38" s="16" t="s">
        <v>99</v>
      </c>
      <c r="E38" s="17" t="s">
        <v>7</v>
      </c>
      <c r="F38" s="13">
        <v>135</v>
      </c>
      <c r="G38" s="13">
        <v>16</v>
      </c>
      <c r="H38" s="13">
        <v>1</v>
      </c>
      <c r="I38" s="13">
        <v>2</v>
      </c>
      <c r="J38" s="15"/>
    </row>
    <row r="39" spans="1:15" x14ac:dyDescent="0.35">
      <c r="A39" s="74"/>
      <c r="B39" s="74"/>
      <c r="C39" s="98"/>
      <c r="D39" s="16" t="s">
        <v>99</v>
      </c>
      <c r="E39" s="17" t="s">
        <v>8</v>
      </c>
      <c r="F39" s="13">
        <v>81</v>
      </c>
      <c r="G39" s="13">
        <v>7</v>
      </c>
      <c r="H39" s="15"/>
      <c r="I39" s="13">
        <v>5</v>
      </c>
      <c r="J39" s="15"/>
    </row>
    <row r="40" spans="1:15" x14ac:dyDescent="0.35">
      <c r="A40" s="74"/>
      <c r="B40" s="74"/>
      <c r="C40" s="98"/>
      <c r="D40" s="16" t="s">
        <v>99</v>
      </c>
      <c r="E40" s="17" t="s">
        <v>9</v>
      </c>
      <c r="F40" s="13">
        <v>263</v>
      </c>
      <c r="G40" s="13">
        <v>57</v>
      </c>
      <c r="H40" s="13">
        <v>6</v>
      </c>
      <c r="I40" s="13">
        <v>8</v>
      </c>
      <c r="J40" s="15"/>
      <c r="K40" s="2">
        <f>SUM(F32:F40)</f>
        <v>943</v>
      </c>
      <c r="L40" s="2">
        <f t="shared" ref="L40:O40" si="2">SUM(G32:G40)</f>
        <v>268</v>
      </c>
      <c r="M40" s="2">
        <f t="shared" si="2"/>
        <v>22</v>
      </c>
      <c r="N40" s="2">
        <f t="shared" si="2"/>
        <v>53</v>
      </c>
      <c r="O40" s="2">
        <f t="shared" si="2"/>
        <v>0</v>
      </c>
    </row>
    <row r="41" spans="1:15" x14ac:dyDescent="0.35">
      <c r="A41" s="4" t="s">
        <v>310</v>
      </c>
      <c r="B41" s="4" t="s">
        <v>311</v>
      </c>
      <c r="C41" s="99">
        <v>2717</v>
      </c>
      <c r="D41" s="16" t="s">
        <v>100</v>
      </c>
      <c r="E41" s="17" t="s">
        <v>17</v>
      </c>
      <c r="F41" s="12">
        <v>62</v>
      </c>
      <c r="G41" s="12">
        <v>7</v>
      </c>
      <c r="H41" s="12">
        <v>4</v>
      </c>
      <c r="I41" s="12">
        <v>2</v>
      </c>
      <c r="J41" s="14"/>
    </row>
    <row r="42" spans="1:15" x14ac:dyDescent="0.35">
      <c r="A42" s="4" t="s">
        <v>312</v>
      </c>
      <c r="B42" s="4" t="s">
        <v>313</v>
      </c>
      <c r="C42" s="99">
        <v>1148</v>
      </c>
      <c r="D42" s="16" t="s">
        <v>100</v>
      </c>
      <c r="E42" s="17" t="s">
        <v>2</v>
      </c>
      <c r="F42" s="12">
        <v>494</v>
      </c>
      <c r="G42" s="12">
        <v>106</v>
      </c>
      <c r="H42" s="12">
        <v>12</v>
      </c>
      <c r="I42" s="12">
        <v>17</v>
      </c>
      <c r="J42" s="14"/>
    </row>
    <row r="43" spans="1:15" x14ac:dyDescent="0.35">
      <c r="A43" s="80"/>
      <c r="B43" s="80"/>
      <c r="C43" s="100"/>
      <c r="D43" s="16" t="s">
        <v>100</v>
      </c>
      <c r="E43" s="17" t="s">
        <v>3</v>
      </c>
      <c r="F43" s="12">
        <v>323</v>
      </c>
      <c r="G43" s="12">
        <v>85</v>
      </c>
      <c r="H43" s="12">
        <v>20</v>
      </c>
      <c r="I43" s="12">
        <v>13</v>
      </c>
      <c r="J43" s="12">
        <v>2</v>
      </c>
    </row>
    <row r="44" spans="1:15" x14ac:dyDescent="0.35">
      <c r="A44" s="80"/>
      <c r="B44" s="80"/>
      <c r="C44" s="100"/>
      <c r="D44" s="16" t="s">
        <v>100</v>
      </c>
      <c r="E44" s="17" t="s">
        <v>4</v>
      </c>
      <c r="F44" s="12">
        <v>55</v>
      </c>
      <c r="G44" s="12">
        <v>10</v>
      </c>
      <c r="H44" s="14"/>
      <c r="I44" s="14"/>
      <c r="J44" s="14"/>
    </row>
    <row r="45" spans="1:15" x14ac:dyDescent="0.35">
      <c r="A45" s="80"/>
      <c r="B45" s="80"/>
      <c r="C45" s="100"/>
      <c r="D45" s="16" t="s">
        <v>100</v>
      </c>
      <c r="E45" s="17" t="s">
        <v>5</v>
      </c>
      <c r="F45" s="12">
        <v>174</v>
      </c>
      <c r="G45" s="12">
        <v>26</v>
      </c>
      <c r="H45" s="12">
        <v>1</v>
      </c>
      <c r="I45" s="12">
        <v>3</v>
      </c>
      <c r="J45" s="14"/>
    </row>
    <row r="46" spans="1:15" x14ac:dyDescent="0.35">
      <c r="A46" s="80"/>
      <c r="B46" s="80"/>
      <c r="C46" s="100"/>
      <c r="D46" s="16" t="s">
        <v>100</v>
      </c>
      <c r="E46" s="17" t="s">
        <v>6</v>
      </c>
      <c r="F46" s="12">
        <v>54</v>
      </c>
      <c r="G46" s="12">
        <v>24</v>
      </c>
      <c r="H46" s="12">
        <v>3</v>
      </c>
      <c r="I46" s="12">
        <v>1</v>
      </c>
      <c r="J46" s="12">
        <v>1</v>
      </c>
    </row>
    <row r="47" spans="1:15" x14ac:dyDescent="0.35">
      <c r="A47" s="80"/>
      <c r="B47" s="80"/>
      <c r="C47" s="100"/>
      <c r="D47" s="16" t="s">
        <v>100</v>
      </c>
      <c r="E47" s="17" t="s">
        <v>7</v>
      </c>
      <c r="F47" s="12">
        <v>199</v>
      </c>
      <c r="G47" s="12">
        <v>83</v>
      </c>
      <c r="H47" s="12">
        <v>5</v>
      </c>
      <c r="I47" s="12">
        <v>8</v>
      </c>
      <c r="J47" s="12">
        <v>1</v>
      </c>
    </row>
    <row r="48" spans="1:15" x14ac:dyDescent="0.35">
      <c r="A48" s="80"/>
      <c r="B48" s="80"/>
      <c r="C48" s="100"/>
      <c r="D48" s="16" t="s">
        <v>100</v>
      </c>
      <c r="E48" s="17" t="s">
        <v>8</v>
      </c>
      <c r="F48" s="12">
        <v>194</v>
      </c>
      <c r="G48" s="12">
        <v>29</v>
      </c>
      <c r="H48" s="12">
        <v>13</v>
      </c>
      <c r="I48" s="12">
        <v>6</v>
      </c>
      <c r="J48" s="14"/>
    </row>
    <row r="49" spans="1:17" x14ac:dyDescent="0.35">
      <c r="A49" s="80"/>
      <c r="B49" s="80"/>
      <c r="C49" s="100"/>
      <c r="D49" s="16" t="s">
        <v>100</v>
      </c>
      <c r="E49" s="17" t="s">
        <v>9</v>
      </c>
      <c r="F49" s="12">
        <v>95</v>
      </c>
      <c r="G49" s="12">
        <v>30</v>
      </c>
      <c r="H49" s="12">
        <v>2</v>
      </c>
      <c r="I49" s="12">
        <v>6</v>
      </c>
      <c r="J49" s="14"/>
    </row>
    <row r="50" spans="1:17" x14ac:dyDescent="0.35">
      <c r="A50" s="80"/>
      <c r="B50" s="80"/>
      <c r="C50" s="100"/>
      <c r="D50" s="16" t="s">
        <v>100</v>
      </c>
      <c r="E50" s="17" t="s">
        <v>11</v>
      </c>
      <c r="F50" s="12">
        <v>92</v>
      </c>
      <c r="G50" s="12">
        <v>25</v>
      </c>
      <c r="H50" s="14"/>
      <c r="I50" s="12">
        <v>7</v>
      </c>
      <c r="J50" s="14"/>
    </row>
    <row r="51" spans="1:17" x14ac:dyDescent="0.35">
      <c r="A51" s="80"/>
      <c r="B51" s="80"/>
      <c r="C51" s="100"/>
      <c r="D51" s="16" t="s">
        <v>100</v>
      </c>
      <c r="E51" s="17" t="s">
        <v>12</v>
      </c>
      <c r="F51" s="12">
        <v>170</v>
      </c>
      <c r="G51" s="12">
        <v>54</v>
      </c>
      <c r="H51" s="12">
        <v>4</v>
      </c>
      <c r="I51" s="12">
        <v>9</v>
      </c>
      <c r="J51" s="14"/>
      <c r="K51" s="2">
        <f>SUM(F42:F51)</f>
        <v>1850</v>
      </c>
      <c r="L51" s="2">
        <f t="shared" ref="L51:O51" si="3">SUM(G42:G51)</f>
        <v>472</v>
      </c>
      <c r="M51" s="2">
        <f t="shared" si="3"/>
        <v>60</v>
      </c>
      <c r="N51" s="2">
        <f t="shared" si="3"/>
        <v>70</v>
      </c>
      <c r="O51" s="2">
        <f t="shared" si="3"/>
        <v>4</v>
      </c>
      <c r="P51" s="2">
        <f>SUM(K51:O51)</f>
        <v>2456</v>
      </c>
      <c r="Q51" s="168">
        <f>+P51+C42</f>
        <v>3604</v>
      </c>
    </row>
    <row r="52" spans="1:17" x14ac:dyDescent="0.35">
      <c r="A52" s="9" t="s">
        <v>532</v>
      </c>
      <c r="B52" s="9" t="s">
        <v>533</v>
      </c>
      <c r="C52" s="97">
        <v>6991</v>
      </c>
      <c r="D52" s="16" t="s">
        <v>101</v>
      </c>
      <c r="E52" s="17" t="s">
        <v>0</v>
      </c>
      <c r="F52" s="13">
        <v>1</v>
      </c>
      <c r="G52" s="15"/>
      <c r="H52" s="15"/>
      <c r="I52" s="15"/>
      <c r="J52" s="15"/>
    </row>
    <row r="53" spans="1:17" x14ac:dyDescent="0.35">
      <c r="A53" s="74"/>
      <c r="B53" s="74"/>
      <c r="C53" s="98"/>
      <c r="D53" s="16" t="s">
        <v>101</v>
      </c>
      <c r="E53" s="17" t="s">
        <v>17</v>
      </c>
      <c r="F53" s="13">
        <v>395</v>
      </c>
      <c r="G53" s="13">
        <v>115</v>
      </c>
      <c r="H53" s="13">
        <v>20</v>
      </c>
      <c r="I53" s="13">
        <v>22</v>
      </c>
      <c r="J53" s="13">
        <v>1</v>
      </c>
    </row>
    <row r="54" spans="1:17" x14ac:dyDescent="0.35">
      <c r="A54" s="74"/>
      <c r="B54" s="74"/>
      <c r="C54" s="98"/>
      <c r="D54" s="16" t="s">
        <v>101</v>
      </c>
      <c r="E54" s="17" t="s">
        <v>2</v>
      </c>
      <c r="F54" s="13">
        <v>273</v>
      </c>
      <c r="G54" s="13">
        <v>44</v>
      </c>
      <c r="H54" s="13">
        <v>1</v>
      </c>
      <c r="I54" s="13">
        <v>9</v>
      </c>
      <c r="J54" s="13">
        <v>1</v>
      </c>
    </row>
    <row r="55" spans="1:17" x14ac:dyDescent="0.35">
      <c r="A55" s="74"/>
      <c r="B55" s="74"/>
      <c r="C55" s="98"/>
      <c r="D55" s="16" t="s">
        <v>101</v>
      </c>
      <c r="E55" s="17" t="s">
        <v>3</v>
      </c>
      <c r="F55" s="13">
        <v>110</v>
      </c>
      <c r="G55" s="13">
        <v>22</v>
      </c>
      <c r="H55" s="13">
        <v>6</v>
      </c>
      <c r="I55" s="13">
        <v>8</v>
      </c>
      <c r="J55" s="15"/>
    </row>
    <row r="56" spans="1:17" x14ac:dyDescent="0.35">
      <c r="A56" s="74"/>
      <c r="B56" s="74"/>
      <c r="C56" s="98"/>
      <c r="D56" s="16" t="s">
        <v>101</v>
      </c>
      <c r="E56" s="17" t="s">
        <v>4</v>
      </c>
      <c r="F56" s="13">
        <v>55</v>
      </c>
      <c r="G56" s="13">
        <v>12</v>
      </c>
      <c r="H56" s="13">
        <v>2</v>
      </c>
      <c r="I56" s="13">
        <v>1</v>
      </c>
      <c r="J56" s="15"/>
    </row>
    <row r="57" spans="1:17" x14ac:dyDescent="0.35">
      <c r="A57" s="74"/>
      <c r="B57" s="74"/>
      <c r="C57" s="98"/>
      <c r="D57" s="16" t="s">
        <v>101</v>
      </c>
      <c r="E57" s="17" t="s">
        <v>5</v>
      </c>
      <c r="F57" s="13">
        <v>76</v>
      </c>
      <c r="G57" s="13">
        <v>5</v>
      </c>
      <c r="H57" s="15"/>
      <c r="I57" s="13">
        <v>1</v>
      </c>
      <c r="J57" s="15"/>
    </row>
    <row r="58" spans="1:17" x14ac:dyDescent="0.35">
      <c r="A58" s="74"/>
      <c r="B58" s="74"/>
      <c r="C58" s="98"/>
      <c r="D58" s="16" t="s">
        <v>101</v>
      </c>
      <c r="E58" s="17" t="s">
        <v>6</v>
      </c>
      <c r="F58" s="13">
        <v>275</v>
      </c>
      <c r="G58" s="13">
        <v>33</v>
      </c>
      <c r="H58" s="13">
        <v>9</v>
      </c>
      <c r="I58" s="13">
        <v>9</v>
      </c>
      <c r="J58" s="15"/>
    </row>
    <row r="59" spans="1:17" x14ac:dyDescent="0.35">
      <c r="A59" s="74"/>
      <c r="B59" s="74"/>
      <c r="C59" s="98"/>
      <c r="D59" s="16" t="s">
        <v>101</v>
      </c>
      <c r="E59" s="17" t="s">
        <v>7</v>
      </c>
      <c r="F59" s="13">
        <v>311</v>
      </c>
      <c r="G59" s="13">
        <v>51</v>
      </c>
      <c r="H59" s="13">
        <v>3</v>
      </c>
      <c r="I59" s="13">
        <v>14</v>
      </c>
      <c r="J59" s="15"/>
    </row>
    <row r="60" spans="1:17" x14ac:dyDescent="0.35">
      <c r="A60" s="74"/>
      <c r="B60" s="74"/>
      <c r="C60" s="98"/>
      <c r="D60" s="16" t="s">
        <v>101</v>
      </c>
      <c r="E60" s="17" t="s">
        <v>8</v>
      </c>
      <c r="F60" s="13">
        <v>166</v>
      </c>
      <c r="G60" s="13">
        <v>20</v>
      </c>
      <c r="H60" s="13">
        <v>5</v>
      </c>
      <c r="I60" s="13">
        <v>2</v>
      </c>
      <c r="J60" s="15"/>
    </row>
    <row r="61" spans="1:17" x14ac:dyDescent="0.35">
      <c r="A61" s="74"/>
      <c r="B61" s="74"/>
      <c r="C61" s="98"/>
      <c r="D61" s="16" t="s">
        <v>101</v>
      </c>
      <c r="E61" s="17" t="s">
        <v>9</v>
      </c>
      <c r="F61" s="13">
        <v>73</v>
      </c>
      <c r="G61" s="13">
        <v>36</v>
      </c>
      <c r="H61" s="13">
        <v>2</v>
      </c>
      <c r="I61" s="13">
        <v>3</v>
      </c>
      <c r="J61" s="15"/>
    </row>
    <row r="62" spans="1:17" x14ac:dyDescent="0.35">
      <c r="A62" s="74"/>
      <c r="B62" s="74"/>
      <c r="C62" s="98"/>
      <c r="D62" s="16" t="s">
        <v>101</v>
      </c>
      <c r="E62" s="17" t="s">
        <v>11</v>
      </c>
      <c r="F62" s="13">
        <v>80</v>
      </c>
      <c r="G62" s="13">
        <v>35</v>
      </c>
      <c r="H62" s="13">
        <v>1</v>
      </c>
      <c r="I62" s="13">
        <v>1</v>
      </c>
      <c r="J62" s="13">
        <v>2</v>
      </c>
    </row>
    <row r="63" spans="1:17" x14ac:dyDescent="0.35">
      <c r="A63" s="74"/>
      <c r="B63" s="74"/>
      <c r="C63" s="98"/>
      <c r="D63" s="16" t="s">
        <v>101</v>
      </c>
      <c r="E63" s="17" t="s">
        <v>12</v>
      </c>
      <c r="F63" s="13">
        <v>104</v>
      </c>
      <c r="G63" s="13">
        <v>21</v>
      </c>
      <c r="H63" s="13">
        <v>4</v>
      </c>
      <c r="I63" s="13">
        <v>2</v>
      </c>
      <c r="J63" s="15"/>
    </row>
    <row r="64" spans="1:17" x14ac:dyDescent="0.35">
      <c r="A64" s="74"/>
      <c r="B64" s="74"/>
      <c r="C64" s="98"/>
      <c r="D64" s="16" t="s">
        <v>101</v>
      </c>
      <c r="E64" s="17" t="s">
        <v>13</v>
      </c>
      <c r="F64" s="13">
        <v>114</v>
      </c>
      <c r="G64" s="13">
        <v>8</v>
      </c>
      <c r="H64" s="13">
        <v>1</v>
      </c>
      <c r="I64" s="15"/>
      <c r="J64" s="15"/>
    </row>
    <row r="65" spans="1:15" x14ac:dyDescent="0.35">
      <c r="A65" s="74"/>
      <c r="B65" s="74"/>
      <c r="C65" s="98"/>
      <c r="D65" s="16" t="s">
        <v>101</v>
      </c>
      <c r="E65" s="17" t="s">
        <v>21</v>
      </c>
      <c r="F65" s="13">
        <v>30</v>
      </c>
      <c r="G65" s="13">
        <v>12</v>
      </c>
      <c r="H65" s="13">
        <v>3</v>
      </c>
      <c r="I65" s="13">
        <v>1</v>
      </c>
      <c r="J65" s="15"/>
    </row>
    <row r="66" spans="1:15" x14ac:dyDescent="0.35">
      <c r="A66" s="74"/>
      <c r="B66" s="74"/>
      <c r="C66" s="98"/>
      <c r="D66" s="16" t="s">
        <v>101</v>
      </c>
      <c r="E66" s="17" t="s">
        <v>22</v>
      </c>
      <c r="F66" s="13">
        <v>61</v>
      </c>
      <c r="G66" s="13">
        <v>1</v>
      </c>
      <c r="H66" s="15"/>
      <c r="I66" s="13">
        <v>3</v>
      </c>
      <c r="J66" s="15"/>
    </row>
    <row r="67" spans="1:15" x14ac:dyDescent="0.35">
      <c r="A67" s="74"/>
      <c r="B67" s="74"/>
      <c r="C67" s="98"/>
      <c r="D67" s="16" t="s">
        <v>101</v>
      </c>
      <c r="E67" s="17" t="s">
        <v>42</v>
      </c>
      <c r="F67" s="13">
        <v>116</v>
      </c>
      <c r="G67" s="13">
        <v>2</v>
      </c>
      <c r="H67" s="15"/>
      <c r="I67" s="13">
        <v>2</v>
      </c>
      <c r="J67" s="15"/>
    </row>
    <row r="68" spans="1:15" x14ac:dyDescent="0.35">
      <c r="A68" s="74"/>
      <c r="B68" s="74"/>
      <c r="C68" s="98"/>
      <c r="D68" s="16" t="s">
        <v>101</v>
      </c>
      <c r="E68" s="17" t="s">
        <v>102</v>
      </c>
      <c r="F68" s="13">
        <v>568</v>
      </c>
      <c r="G68" s="13">
        <v>129</v>
      </c>
      <c r="H68" s="13">
        <v>24</v>
      </c>
      <c r="I68" s="13">
        <v>23</v>
      </c>
      <c r="J68" s="13">
        <v>2</v>
      </c>
    </row>
    <row r="69" spans="1:15" x14ac:dyDescent="0.35">
      <c r="A69" s="74"/>
      <c r="B69" s="74"/>
      <c r="C69" s="98"/>
      <c r="D69" s="16" t="s">
        <v>101</v>
      </c>
      <c r="E69" s="17" t="s">
        <v>103</v>
      </c>
      <c r="F69" s="13">
        <v>526</v>
      </c>
      <c r="G69" s="13">
        <v>37</v>
      </c>
      <c r="H69" s="13">
        <v>1</v>
      </c>
      <c r="I69" s="13">
        <v>17</v>
      </c>
      <c r="J69" s="15"/>
      <c r="K69" s="2">
        <f>SUM(F52:F69)</f>
        <v>3334</v>
      </c>
      <c r="L69" s="2">
        <f t="shared" ref="L69:O69" si="4">SUM(G52:G69)</f>
        <v>583</v>
      </c>
      <c r="M69" s="2">
        <f t="shared" si="4"/>
        <v>82</v>
      </c>
      <c r="N69" s="2">
        <f t="shared" si="4"/>
        <v>118</v>
      </c>
      <c r="O69" s="2">
        <f t="shared" si="4"/>
        <v>6</v>
      </c>
    </row>
    <row r="70" spans="1:15" x14ac:dyDescent="0.35">
      <c r="A70" s="4" t="s">
        <v>534</v>
      </c>
      <c r="B70" s="4" t="s">
        <v>535</v>
      </c>
      <c r="C70" s="99">
        <v>4091</v>
      </c>
      <c r="D70" s="16" t="s">
        <v>104</v>
      </c>
      <c r="E70" s="17" t="s">
        <v>0</v>
      </c>
      <c r="F70" s="12">
        <v>2</v>
      </c>
      <c r="G70" s="14"/>
      <c r="H70" s="14"/>
      <c r="I70" s="14"/>
      <c r="J70" s="14"/>
    </row>
    <row r="71" spans="1:15" x14ac:dyDescent="0.35">
      <c r="A71" s="80"/>
      <c r="B71" s="80"/>
      <c r="C71" s="100"/>
      <c r="D71" s="16" t="s">
        <v>104</v>
      </c>
      <c r="E71" s="17" t="s">
        <v>17</v>
      </c>
      <c r="F71" s="12">
        <v>208</v>
      </c>
      <c r="G71" s="12">
        <v>53</v>
      </c>
      <c r="H71" s="14"/>
      <c r="I71" s="12">
        <v>11</v>
      </c>
      <c r="J71" s="12">
        <v>1</v>
      </c>
    </row>
    <row r="72" spans="1:15" x14ac:dyDescent="0.35">
      <c r="A72" s="80"/>
      <c r="B72" s="80"/>
      <c r="C72" s="100"/>
      <c r="D72" s="16" t="s">
        <v>104</v>
      </c>
      <c r="E72" s="17" t="s">
        <v>2</v>
      </c>
      <c r="F72" s="12">
        <v>1070</v>
      </c>
      <c r="G72" s="12">
        <v>159</v>
      </c>
      <c r="H72" s="12">
        <v>16</v>
      </c>
      <c r="I72" s="12">
        <v>31</v>
      </c>
      <c r="J72" s="14"/>
    </row>
    <row r="73" spans="1:15" x14ac:dyDescent="0.35">
      <c r="A73" s="80"/>
      <c r="B73" s="80"/>
      <c r="C73" s="100"/>
      <c r="D73" s="16" t="s">
        <v>104</v>
      </c>
      <c r="E73" s="17" t="s">
        <v>3</v>
      </c>
      <c r="F73" s="12">
        <v>393</v>
      </c>
      <c r="G73" s="12">
        <v>54</v>
      </c>
      <c r="H73" s="12">
        <v>18</v>
      </c>
      <c r="I73" s="12">
        <v>15</v>
      </c>
      <c r="J73" s="14"/>
    </row>
    <row r="74" spans="1:15" x14ac:dyDescent="0.35">
      <c r="A74" s="80"/>
      <c r="B74" s="80"/>
      <c r="C74" s="100"/>
      <c r="D74" s="16" t="s">
        <v>104</v>
      </c>
      <c r="E74" s="17" t="s">
        <v>4</v>
      </c>
      <c r="F74" s="12">
        <v>321</v>
      </c>
      <c r="G74" s="12">
        <v>47</v>
      </c>
      <c r="H74" s="12">
        <v>4</v>
      </c>
      <c r="I74" s="12">
        <v>11</v>
      </c>
      <c r="J74" s="14"/>
    </row>
    <row r="75" spans="1:15" x14ac:dyDescent="0.35">
      <c r="A75" s="80"/>
      <c r="B75" s="80"/>
      <c r="C75" s="100"/>
      <c r="D75" s="16" t="s">
        <v>104</v>
      </c>
      <c r="E75" s="17" t="s">
        <v>5</v>
      </c>
      <c r="F75" s="12">
        <v>155</v>
      </c>
      <c r="G75" s="12">
        <v>31</v>
      </c>
      <c r="H75" s="12">
        <v>8</v>
      </c>
      <c r="I75" s="12">
        <v>3</v>
      </c>
      <c r="J75" s="14"/>
    </row>
    <row r="76" spans="1:15" x14ac:dyDescent="0.35">
      <c r="A76" s="80"/>
      <c r="B76" s="80"/>
      <c r="C76" s="100"/>
      <c r="D76" s="16" t="s">
        <v>104</v>
      </c>
      <c r="E76" s="17" t="s">
        <v>6</v>
      </c>
      <c r="F76" s="12">
        <v>67</v>
      </c>
      <c r="G76" s="12">
        <v>6</v>
      </c>
      <c r="H76" s="14"/>
      <c r="I76" s="12">
        <v>1</v>
      </c>
      <c r="J76" s="14"/>
    </row>
    <row r="77" spans="1:15" x14ac:dyDescent="0.35">
      <c r="A77" s="80"/>
      <c r="B77" s="80"/>
      <c r="C77" s="100"/>
      <c r="D77" s="16" t="s">
        <v>104</v>
      </c>
      <c r="E77" s="17" t="s">
        <v>7</v>
      </c>
      <c r="F77" s="12">
        <v>118</v>
      </c>
      <c r="G77" s="12">
        <v>18</v>
      </c>
      <c r="H77" s="14"/>
      <c r="I77" s="12">
        <v>3</v>
      </c>
      <c r="J77" s="14"/>
    </row>
    <row r="78" spans="1:15" x14ac:dyDescent="0.35">
      <c r="A78" s="80"/>
      <c r="B78" s="80"/>
      <c r="C78" s="100"/>
      <c r="D78" s="16" t="s">
        <v>104</v>
      </c>
      <c r="E78" s="17" t="s">
        <v>8</v>
      </c>
      <c r="F78" s="12">
        <v>367</v>
      </c>
      <c r="G78" s="12">
        <v>37</v>
      </c>
      <c r="H78" s="12">
        <v>3</v>
      </c>
      <c r="I78" s="12">
        <v>12</v>
      </c>
      <c r="J78" s="12">
        <v>1</v>
      </c>
    </row>
    <row r="79" spans="1:15" x14ac:dyDescent="0.35">
      <c r="A79" s="80"/>
      <c r="B79" s="80"/>
      <c r="C79" s="100"/>
      <c r="D79" s="16" t="s">
        <v>104</v>
      </c>
      <c r="E79" s="17" t="s">
        <v>15</v>
      </c>
      <c r="F79" s="12"/>
      <c r="G79" s="12">
        <v>1</v>
      </c>
      <c r="H79" s="12"/>
      <c r="I79" s="14"/>
      <c r="J79" s="14"/>
      <c r="K79" s="2">
        <f>SUM(F70:F79)</f>
        <v>2701</v>
      </c>
      <c r="L79" s="2">
        <f t="shared" ref="L79:O79" si="5">SUM(G70:G79)</f>
        <v>406</v>
      </c>
      <c r="M79" s="2">
        <f t="shared" si="5"/>
        <v>49</v>
      </c>
      <c r="N79" s="2">
        <f t="shared" si="5"/>
        <v>87</v>
      </c>
      <c r="O79" s="2">
        <f t="shared" si="5"/>
        <v>2</v>
      </c>
    </row>
    <row r="80" spans="1:15" x14ac:dyDescent="0.35">
      <c r="A80" s="9" t="s">
        <v>314</v>
      </c>
      <c r="B80" s="9" t="s">
        <v>315</v>
      </c>
      <c r="C80" s="97">
        <v>1293</v>
      </c>
      <c r="D80" s="16" t="s">
        <v>105</v>
      </c>
      <c r="E80" s="17" t="s">
        <v>17</v>
      </c>
      <c r="F80" s="13">
        <v>103</v>
      </c>
      <c r="G80" s="13">
        <v>29</v>
      </c>
      <c r="H80" s="13">
        <v>2</v>
      </c>
      <c r="I80" s="13">
        <v>5</v>
      </c>
      <c r="J80" s="15"/>
    </row>
    <row r="81" spans="1:15" x14ac:dyDescent="0.35">
      <c r="A81" s="74"/>
      <c r="B81" s="74"/>
      <c r="C81" s="98"/>
      <c r="D81" s="16" t="s">
        <v>105</v>
      </c>
      <c r="E81" s="17" t="s">
        <v>2</v>
      </c>
      <c r="F81" s="13">
        <v>102</v>
      </c>
      <c r="G81" s="13">
        <v>57</v>
      </c>
      <c r="H81" s="15"/>
      <c r="I81" s="13">
        <v>8</v>
      </c>
      <c r="J81" s="13">
        <v>1</v>
      </c>
    </row>
    <row r="82" spans="1:15" x14ac:dyDescent="0.35">
      <c r="A82" s="74"/>
      <c r="B82" s="74"/>
      <c r="C82" s="98"/>
      <c r="D82" s="16" t="s">
        <v>105</v>
      </c>
      <c r="E82" s="17" t="s">
        <v>3</v>
      </c>
      <c r="F82" s="13">
        <v>87</v>
      </c>
      <c r="G82" s="13">
        <v>23</v>
      </c>
      <c r="H82" s="13">
        <v>4</v>
      </c>
      <c r="I82" s="13">
        <v>3</v>
      </c>
      <c r="J82" s="13">
        <v>1</v>
      </c>
    </row>
    <row r="83" spans="1:15" x14ac:dyDescent="0.35">
      <c r="A83" s="74"/>
      <c r="B83" s="74"/>
      <c r="C83" s="98"/>
      <c r="D83" s="16" t="s">
        <v>105</v>
      </c>
      <c r="E83" s="17" t="s">
        <v>4</v>
      </c>
      <c r="F83" s="13">
        <v>74</v>
      </c>
      <c r="G83" s="13">
        <v>31</v>
      </c>
      <c r="H83" s="13">
        <v>2</v>
      </c>
      <c r="I83" s="13">
        <v>7</v>
      </c>
      <c r="J83" s="15"/>
    </row>
    <row r="84" spans="1:15" x14ac:dyDescent="0.35">
      <c r="A84" s="74"/>
      <c r="B84" s="74"/>
      <c r="C84" s="98"/>
      <c r="D84" s="16" t="s">
        <v>105</v>
      </c>
      <c r="E84" s="17" t="s">
        <v>5</v>
      </c>
      <c r="F84" s="13">
        <v>198</v>
      </c>
      <c r="G84" s="13">
        <v>23</v>
      </c>
      <c r="H84" s="13">
        <v>1</v>
      </c>
      <c r="I84" s="13">
        <v>7</v>
      </c>
      <c r="J84" s="13">
        <v>1</v>
      </c>
    </row>
    <row r="85" spans="1:15" x14ac:dyDescent="0.35">
      <c r="A85" s="74"/>
      <c r="B85" s="74"/>
      <c r="C85" s="98"/>
      <c r="D85" s="16" t="s">
        <v>105</v>
      </c>
      <c r="E85" s="17" t="s">
        <v>6</v>
      </c>
      <c r="F85" s="13">
        <v>135</v>
      </c>
      <c r="G85" s="13">
        <v>21</v>
      </c>
      <c r="H85" s="13">
        <v>2</v>
      </c>
      <c r="I85" s="13">
        <v>1</v>
      </c>
      <c r="J85" s="15"/>
    </row>
    <row r="86" spans="1:15" x14ac:dyDescent="0.35">
      <c r="A86" s="74"/>
      <c r="B86" s="74"/>
      <c r="C86" s="98"/>
      <c r="D86" s="16" t="s">
        <v>105</v>
      </c>
      <c r="E86" s="17" t="s">
        <v>7</v>
      </c>
      <c r="F86" s="13">
        <v>104</v>
      </c>
      <c r="G86" s="13">
        <v>12</v>
      </c>
      <c r="H86" s="13">
        <v>2</v>
      </c>
      <c r="I86" s="13">
        <v>2</v>
      </c>
      <c r="J86" s="15"/>
      <c r="K86" s="2">
        <f>SUM(F80:F86)</f>
        <v>803</v>
      </c>
      <c r="L86" s="2">
        <f t="shared" ref="L86:O86" si="6">SUM(G80:G86)</f>
        <v>196</v>
      </c>
      <c r="M86" s="2">
        <f t="shared" si="6"/>
        <v>13</v>
      </c>
      <c r="N86" s="2">
        <f t="shared" si="6"/>
        <v>33</v>
      </c>
      <c r="O86" s="2">
        <f t="shared" si="6"/>
        <v>3</v>
      </c>
    </row>
    <row r="87" spans="1:15" x14ac:dyDescent="0.35">
      <c r="A87" s="4" t="s">
        <v>536</v>
      </c>
      <c r="B87" s="4" t="s">
        <v>508</v>
      </c>
      <c r="C87" s="99">
        <v>1649</v>
      </c>
      <c r="D87" s="16" t="s">
        <v>83</v>
      </c>
      <c r="E87" s="17" t="s">
        <v>17</v>
      </c>
      <c r="F87" s="12">
        <v>80</v>
      </c>
      <c r="G87" s="12">
        <v>28</v>
      </c>
      <c r="H87" s="12">
        <v>1</v>
      </c>
      <c r="I87" s="14"/>
      <c r="J87" s="14"/>
    </row>
    <row r="88" spans="1:15" x14ac:dyDescent="0.35">
      <c r="A88" s="80"/>
      <c r="B88" s="80"/>
      <c r="C88" s="100"/>
      <c r="D88" s="16" t="s">
        <v>83</v>
      </c>
      <c r="E88" s="17" t="s">
        <v>2</v>
      </c>
      <c r="F88" s="12">
        <v>29</v>
      </c>
      <c r="G88" s="12">
        <v>9</v>
      </c>
      <c r="H88" s="12">
        <v>3</v>
      </c>
      <c r="I88" s="12">
        <v>2</v>
      </c>
      <c r="J88" s="14"/>
    </row>
    <row r="89" spans="1:15" x14ac:dyDescent="0.35">
      <c r="A89" s="80"/>
      <c r="B89" s="80"/>
      <c r="C89" s="100"/>
      <c r="D89" s="16" t="s">
        <v>83</v>
      </c>
      <c r="E89" s="17" t="s">
        <v>3</v>
      </c>
      <c r="F89" s="12">
        <v>110</v>
      </c>
      <c r="G89" s="12">
        <v>27</v>
      </c>
      <c r="H89" s="12">
        <v>2</v>
      </c>
      <c r="I89" s="12">
        <v>7</v>
      </c>
      <c r="J89" s="14"/>
    </row>
    <row r="90" spans="1:15" x14ac:dyDescent="0.35">
      <c r="A90" s="80"/>
      <c r="B90" s="80"/>
      <c r="C90" s="100"/>
      <c r="D90" s="16" t="s">
        <v>83</v>
      </c>
      <c r="E90" s="17" t="s">
        <v>4</v>
      </c>
      <c r="F90" s="12">
        <v>199</v>
      </c>
      <c r="G90" s="12">
        <v>47</v>
      </c>
      <c r="H90" s="12">
        <v>1</v>
      </c>
      <c r="I90" s="12">
        <v>8</v>
      </c>
      <c r="J90" s="14"/>
    </row>
    <row r="91" spans="1:15" x14ac:dyDescent="0.35">
      <c r="A91" s="80"/>
      <c r="B91" s="80"/>
      <c r="C91" s="100"/>
      <c r="D91" s="16" t="s">
        <v>83</v>
      </c>
      <c r="E91" s="17" t="s">
        <v>5</v>
      </c>
      <c r="F91" s="12">
        <v>124</v>
      </c>
      <c r="G91" s="12">
        <v>23</v>
      </c>
      <c r="H91" s="12">
        <v>1</v>
      </c>
      <c r="I91" s="12">
        <v>1</v>
      </c>
      <c r="J91" s="12">
        <v>1</v>
      </c>
    </row>
    <row r="92" spans="1:15" x14ac:dyDescent="0.35">
      <c r="A92" s="80"/>
      <c r="B92" s="80"/>
      <c r="C92" s="100"/>
      <c r="D92" s="16" t="s">
        <v>83</v>
      </c>
      <c r="E92" s="17" t="s">
        <v>6</v>
      </c>
      <c r="F92" s="12">
        <v>176</v>
      </c>
      <c r="G92" s="12">
        <v>53</v>
      </c>
      <c r="H92" s="12">
        <v>4</v>
      </c>
      <c r="I92" s="12">
        <v>12</v>
      </c>
      <c r="J92" s="14"/>
    </row>
    <row r="93" spans="1:15" x14ac:dyDescent="0.35">
      <c r="A93" s="80"/>
      <c r="B93" s="80"/>
      <c r="C93" s="100"/>
      <c r="D93" s="16" t="s">
        <v>83</v>
      </c>
      <c r="E93" s="17" t="s">
        <v>7</v>
      </c>
      <c r="F93" s="12">
        <v>49</v>
      </c>
      <c r="G93" s="12">
        <v>23</v>
      </c>
      <c r="H93" s="12">
        <v>2</v>
      </c>
      <c r="I93" s="12">
        <v>1</v>
      </c>
      <c r="J93" s="14"/>
    </row>
    <row r="94" spans="1:15" x14ac:dyDescent="0.35">
      <c r="A94" s="80"/>
      <c r="B94" s="80"/>
      <c r="C94" s="100"/>
      <c r="D94" s="16" t="s">
        <v>83</v>
      </c>
      <c r="E94" s="17" t="s">
        <v>8</v>
      </c>
      <c r="F94" s="12">
        <v>41</v>
      </c>
      <c r="G94" s="12">
        <v>10</v>
      </c>
      <c r="H94" s="14"/>
      <c r="I94" s="14"/>
      <c r="J94" s="14"/>
      <c r="K94" s="2">
        <f>SUM(F87:F94)</f>
        <v>808</v>
      </c>
      <c r="L94" s="2">
        <f t="shared" ref="L94:O94" si="7">SUM(G87:G94)</f>
        <v>220</v>
      </c>
      <c r="M94" s="2">
        <f t="shared" si="7"/>
        <v>14</v>
      </c>
      <c r="N94" s="2">
        <f t="shared" si="7"/>
        <v>31</v>
      </c>
      <c r="O94" s="2">
        <f t="shared" si="7"/>
        <v>1</v>
      </c>
    </row>
    <row r="95" spans="1:15" x14ac:dyDescent="0.35">
      <c r="A95" s="9" t="s">
        <v>316</v>
      </c>
      <c r="B95" s="9" t="s">
        <v>317</v>
      </c>
      <c r="C95" s="97">
        <v>1243</v>
      </c>
      <c r="D95" s="16" t="s">
        <v>106</v>
      </c>
      <c r="E95" s="17" t="s">
        <v>17</v>
      </c>
      <c r="F95" s="13">
        <v>50</v>
      </c>
      <c r="G95" s="13">
        <v>28</v>
      </c>
      <c r="H95" s="13">
        <v>5</v>
      </c>
      <c r="I95" s="13">
        <v>1</v>
      </c>
      <c r="J95" s="15"/>
    </row>
    <row r="96" spans="1:15" x14ac:dyDescent="0.35">
      <c r="A96" s="74"/>
      <c r="B96" s="74"/>
      <c r="C96" s="98"/>
      <c r="D96" s="16" t="s">
        <v>106</v>
      </c>
      <c r="E96" s="17" t="s">
        <v>2</v>
      </c>
      <c r="F96" s="13">
        <v>46</v>
      </c>
      <c r="G96" s="13">
        <v>16</v>
      </c>
      <c r="H96" s="15"/>
      <c r="I96" s="13">
        <v>1</v>
      </c>
      <c r="J96" s="15"/>
    </row>
    <row r="97" spans="1:15" x14ac:dyDescent="0.35">
      <c r="A97" s="74"/>
      <c r="B97" s="74"/>
      <c r="C97" s="98"/>
      <c r="D97" s="16" t="s">
        <v>106</v>
      </c>
      <c r="E97" s="17" t="s">
        <v>3</v>
      </c>
      <c r="F97" s="13">
        <v>76</v>
      </c>
      <c r="G97" s="13">
        <v>6</v>
      </c>
      <c r="H97" s="13">
        <v>1</v>
      </c>
      <c r="I97" s="13">
        <v>3</v>
      </c>
      <c r="J97" s="15"/>
    </row>
    <row r="98" spans="1:15" x14ac:dyDescent="0.35">
      <c r="A98" s="74"/>
      <c r="B98" s="74"/>
      <c r="C98" s="98"/>
      <c r="D98" s="16" t="s">
        <v>106</v>
      </c>
      <c r="E98" s="17" t="s">
        <v>4</v>
      </c>
      <c r="F98" s="13">
        <v>45</v>
      </c>
      <c r="G98" s="13">
        <v>15</v>
      </c>
      <c r="H98" s="15"/>
      <c r="I98" s="15"/>
      <c r="J98" s="15"/>
    </row>
    <row r="99" spans="1:15" x14ac:dyDescent="0.35">
      <c r="A99" s="74"/>
      <c r="B99" s="74"/>
      <c r="C99" s="98"/>
      <c r="D99" s="16" t="s">
        <v>106</v>
      </c>
      <c r="E99" s="17" t="s">
        <v>5</v>
      </c>
      <c r="F99" s="13">
        <v>58</v>
      </c>
      <c r="G99" s="13">
        <v>15</v>
      </c>
      <c r="H99" s="15"/>
      <c r="I99" s="13">
        <v>1</v>
      </c>
      <c r="J99" s="15"/>
    </row>
    <row r="100" spans="1:15" x14ac:dyDescent="0.35">
      <c r="A100" s="74"/>
      <c r="B100" s="74"/>
      <c r="C100" s="98"/>
      <c r="D100" s="16" t="s">
        <v>106</v>
      </c>
      <c r="E100" s="17" t="s">
        <v>6</v>
      </c>
      <c r="F100" s="13">
        <v>59</v>
      </c>
      <c r="G100" s="13">
        <v>23</v>
      </c>
      <c r="H100" s="13">
        <v>4</v>
      </c>
      <c r="I100" s="13">
        <v>4</v>
      </c>
      <c r="J100" s="15"/>
    </row>
    <row r="101" spans="1:15" x14ac:dyDescent="0.35">
      <c r="A101" s="74"/>
      <c r="B101" s="74"/>
      <c r="C101" s="98"/>
      <c r="D101" s="16" t="s">
        <v>106</v>
      </c>
      <c r="E101" s="17" t="s">
        <v>7</v>
      </c>
      <c r="F101" s="13">
        <v>54</v>
      </c>
      <c r="G101" s="13">
        <v>23</v>
      </c>
      <c r="H101" s="13">
        <v>9</v>
      </c>
      <c r="I101" s="13">
        <v>4</v>
      </c>
      <c r="J101" s="15"/>
    </row>
    <row r="102" spans="1:15" x14ac:dyDescent="0.35">
      <c r="A102" s="74"/>
      <c r="B102" s="74"/>
      <c r="C102" s="98"/>
      <c r="D102" s="16" t="s">
        <v>106</v>
      </c>
      <c r="E102" s="17" t="s">
        <v>8</v>
      </c>
      <c r="F102" s="13">
        <v>113</v>
      </c>
      <c r="G102" s="13">
        <v>23</v>
      </c>
      <c r="H102" s="13">
        <v>2</v>
      </c>
      <c r="I102" s="13">
        <v>2</v>
      </c>
      <c r="J102" s="15"/>
    </row>
    <row r="103" spans="1:15" x14ac:dyDescent="0.35">
      <c r="A103" s="74"/>
      <c r="B103" s="74"/>
      <c r="C103" s="98"/>
      <c r="D103" s="16" t="s">
        <v>106</v>
      </c>
      <c r="E103" s="17" t="s">
        <v>9</v>
      </c>
      <c r="F103" s="13">
        <v>75</v>
      </c>
      <c r="G103" s="13">
        <v>9</v>
      </c>
      <c r="H103" s="13">
        <v>1</v>
      </c>
      <c r="I103" s="13">
        <v>5</v>
      </c>
      <c r="J103" s="15"/>
      <c r="K103" s="2">
        <f>SUM(F95:F103)</f>
        <v>576</v>
      </c>
      <c r="L103" s="2">
        <f t="shared" ref="L103:O103" si="8">SUM(G95:G103)</f>
        <v>158</v>
      </c>
      <c r="M103" s="2">
        <f t="shared" si="8"/>
        <v>22</v>
      </c>
      <c r="N103" s="2">
        <f t="shared" si="8"/>
        <v>21</v>
      </c>
      <c r="O103" s="2">
        <f t="shared" si="8"/>
        <v>0</v>
      </c>
    </row>
    <row r="104" spans="1:15" x14ac:dyDescent="0.35">
      <c r="A104" s="4" t="s">
        <v>318</v>
      </c>
      <c r="B104" s="4" t="s">
        <v>319</v>
      </c>
      <c r="C104" s="99">
        <v>2184</v>
      </c>
      <c r="D104" s="16" t="s">
        <v>107</v>
      </c>
      <c r="E104" s="17" t="s">
        <v>17</v>
      </c>
      <c r="F104" s="12">
        <v>121</v>
      </c>
      <c r="G104" s="12">
        <v>14</v>
      </c>
      <c r="H104" s="12">
        <v>8</v>
      </c>
      <c r="I104" s="12">
        <v>5</v>
      </c>
      <c r="J104" s="14"/>
    </row>
    <row r="105" spans="1:15" x14ac:dyDescent="0.35">
      <c r="A105" s="1" t="s">
        <v>349</v>
      </c>
      <c r="B105" s="1" t="s">
        <v>350</v>
      </c>
      <c r="C105" s="96">
        <v>1897</v>
      </c>
      <c r="D105" s="16" t="s">
        <v>107</v>
      </c>
      <c r="E105" s="17" t="s">
        <v>2</v>
      </c>
      <c r="F105" s="12">
        <v>709</v>
      </c>
      <c r="G105" s="12">
        <v>186</v>
      </c>
      <c r="H105" s="12">
        <v>32</v>
      </c>
      <c r="I105" s="12">
        <v>37</v>
      </c>
      <c r="J105" s="12">
        <v>4</v>
      </c>
    </row>
    <row r="106" spans="1:15" x14ac:dyDescent="0.35">
      <c r="A106" s="80"/>
      <c r="B106" s="80"/>
      <c r="C106" s="100"/>
      <c r="D106" s="16" t="s">
        <v>107</v>
      </c>
      <c r="E106" s="17" t="s">
        <v>3</v>
      </c>
      <c r="F106" s="12">
        <v>166</v>
      </c>
      <c r="G106" s="12">
        <v>18</v>
      </c>
      <c r="H106" s="12">
        <v>3</v>
      </c>
      <c r="I106" s="12">
        <v>5</v>
      </c>
      <c r="J106" s="12">
        <v>1</v>
      </c>
    </row>
    <row r="107" spans="1:15" x14ac:dyDescent="0.35">
      <c r="A107" s="80"/>
      <c r="B107" s="80"/>
      <c r="C107" s="100"/>
      <c r="D107" s="16" t="s">
        <v>107</v>
      </c>
      <c r="E107" s="17" t="s">
        <v>4</v>
      </c>
      <c r="F107" s="12">
        <v>45</v>
      </c>
      <c r="G107" s="12">
        <v>10</v>
      </c>
      <c r="H107" s="14"/>
      <c r="I107" s="12">
        <v>2</v>
      </c>
      <c r="J107" s="14"/>
    </row>
    <row r="108" spans="1:15" x14ac:dyDescent="0.35">
      <c r="A108" s="80"/>
      <c r="B108" s="80"/>
      <c r="C108" s="100"/>
      <c r="D108" s="16" t="s">
        <v>107</v>
      </c>
      <c r="E108" s="17" t="s">
        <v>5</v>
      </c>
      <c r="F108" s="12">
        <v>61</v>
      </c>
      <c r="G108" s="12">
        <v>11</v>
      </c>
      <c r="H108" s="14"/>
      <c r="I108" s="12">
        <v>1</v>
      </c>
      <c r="J108" s="14"/>
    </row>
    <row r="109" spans="1:15" x14ac:dyDescent="0.35">
      <c r="A109" s="80"/>
      <c r="B109" s="80"/>
      <c r="C109" s="100"/>
      <c r="D109" s="16" t="s">
        <v>107</v>
      </c>
      <c r="E109" s="17" t="s">
        <v>6</v>
      </c>
      <c r="F109" s="12">
        <v>186</v>
      </c>
      <c r="G109" s="12">
        <v>31</v>
      </c>
      <c r="H109" s="12">
        <v>6</v>
      </c>
      <c r="I109" s="12">
        <v>7</v>
      </c>
      <c r="J109" s="12">
        <v>2</v>
      </c>
    </row>
    <row r="110" spans="1:15" x14ac:dyDescent="0.35">
      <c r="A110" s="80"/>
      <c r="B110" s="80"/>
      <c r="C110" s="100"/>
      <c r="D110" s="16" t="s">
        <v>107</v>
      </c>
      <c r="E110" s="17" t="s">
        <v>7</v>
      </c>
      <c r="F110" s="12">
        <v>65</v>
      </c>
      <c r="G110" s="12">
        <v>6</v>
      </c>
      <c r="H110" s="14"/>
      <c r="I110" s="14"/>
      <c r="J110" s="14"/>
    </row>
    <row r="111" spans="1:15" x14ac:dyDescent="0.35">
      <c r="A111" s="80"/>
      <c r="B111" s="80"/>
      <c r="C111" s="100"/>
      <c r="D111" s="16" t="s">
        <v>107</v>
      </c>
      <c r="E111" s="17" t="s">
        <v>8</v>
      </c>
      <c r="F111" s="12">
        <v>54</v>
      </c>
      <c r="G111" s="12">
        <v>5</v>
      </c>
      <c r="H111" s="14"/>
      <c r="I111" s="14"/>
      <c r="J111" s="14"/>
      <c r="K111" s="2">
        <f>SUM(F105:F111)</f>
        <v>1286</v>
      </c>
      <c r="L111" s="2">
        <f t="shared" ref="L111:O111" si="9">SUM(G105:G111)</f>
        <v>267</v>
      </c>
      <c r="M111" s="2">
        <f t="shared" si="9"/>
        <v>41</v>
      </c>
      <c r="N111" s="2">
        <f t="shared" si="9"/>
        <v>52</v>
      </c>
      <c r="O111" s="2">
        <f t="shared" si="9"/>
        <v>7</v>
      </c>
    </row>
    <row r="112" spans="1:15" x14ac:dyDescent="0.35">
      <c r="A112" s="9" t="s">
        <v>537</v>
      </c>
      <c r="B112" s="9" t="s">
        <v>538</v>
      </c>
      <c r="C112" s="97">
        <v>1161</v>
      </c>
      <c r="D112" s="16" t="s">
        <v>108</v>
      </c>
      <c r="E112" s="17" t="s">
        <v>17</v>
      </c>
      <c r="F112" s="13">
        <v>75</v>
      </c>
      <c r="G112" s="13">
        <v>14</v>
      </c>
      <c r="H112" s="13">
        <v>3</v>
      </c>
      <c r="I112" s="13">
        <v>1</v>
      </c>
      <c r="J112" s="15"/>
    </row>
    <row r="113" spans="1:15" x14ac:dyDescent="0.35">
      <c r="A113" s="74"/>
      <c r="B113" s="74"/>
      <c r="C113" s="98"/>
      <c r="D113" s="16" t="s">
        <v>108</v>
      </c>
      <c r="E113" s="17" t="s">
        <v>2</v>
      </c>
      <c r="F113" s="13">
        <v>46</v>
      </c>
      <c r="G113" s="13">
        <v>13</v>
      </c>
      <c r="H113" s="15"/>
      <c r="I113" s="13">
        <v>1</v>
      </c>
      <c r="J113" s="15"/>
    </row>
    <row r="114" spans="1:15" x14ac:dyDescent="0.35">
      <c r="A114" s="74"/>
      <c r="B114" s="74"/>
      <c r="C114" s="98"/>
      <c r="D114" s="16" t="s">
        <v>108</v>
      </c>
      <c r="E114" s="17" t="s">
        <v>3</v>
      </c>
      <c r="F114" s="13">
        <v>111</v>
      </c>
      <c r="G114" s="13">
        <v>15</v>
      </c>
      <c r="H114" s="13">
        <v>2</v>
      </c>
      <c r="I114" s="13">
        <v>2</v>
      </c>
      <c r="J114" s="15"/>
    </row>
    <row r="115" spans="1:15" x14ac:dyDescent="0.35">
      <c r="A115" s="74"/>
      <c r="B115" s="74"/>
      <c r="C115" s="98"/>
      <c r="D115" s="16" t="s">
        <v>108</v>
      </c>
      <c r="E115" s="17" t="s">
        <v>4</v>
      </c>
      <c r="F115" s="13">
        <v>127</v>
      </c>
      <c r="G115" s="13">
        <v>8</v>
      </c>
      <c r="H115" s="13">
        <v>5</v>
      </c>
      <c r="I115" s="13">
        <v>8</v>
      </c>
      <c r="J115" s="15"/>
    </row>
    <row r="116" spans="1:15" x14ac:dyDescent="0.35">
      <c r="A116" s="74"/>
      <c r="B116" s="74"/>
      <c r="C116" s="98"/>
      <c r="D116" s="16" t="s">
        <v>108</v>
      </c>
      <c r="E116" s="17" t="s">
        <v>5</v>
      </c>
      <c r="F116" s="13">
        <v>138</v>
      </c>
      <c r="G116" s="13">
        <v>25</v>
      </c>
      <c r="H116" s="13">
        <v>3</v>
      </c>
      <c r="I116" s="13">
        <v>5</v>
      </c>
      <c r="J116" s="15"/>
    </row>
    <row r="117" spans="1:15" x14ac:dyDescent="0.35">
      <c r="A117" s="74"/>
      <c r="B117" s="74"/>
      <c r="C117" s="98"/>
      <c r="D117" s="16" t="s">
        <v>108</v>
      </c>
      <c r="E117" s="17" t="s">
        <v>6</v>
      </c>
      <c r="F117" s="13">
        <v>140</v>
      </c>
      <c r="G117" s="13">
        <v>24</v>
      </c>
      <c r="H117" s="13">
        <v>2</v>
      </c>
      <c r="I117" s="13">
        <v>3</v>
      </c>
      <c r="J117" s="15"/>
    </row>
    <row r="118" spans="1:15" x14ac:dyDescent="0.35">
      <c r="A118" s="74"/>
      <c r="B118" s="74"/>
      <c r="C118" s="98"/>
      <c r="D118" s="16" t="s">
        <v>108</v>
      </c>
      <c r="E118" s="17" t="s">
        <v>7</v>
      </c>
      <c r="F118" s="13">
        <v>75</v>
      </c>
      <c r="G118" s="13">
        <v>10</v>
      </c>
      <c r="H118" s="15"/>
      <c r="I118" s="15"/>
      <c r="J118" s="15"/>
      <c r="K118" s="2">
        <f>SUM(F112:F118)</f>
        <v>712</v>
      </c>
      <c r="L118" s="2">
        <f t="shared" ref="L118:O118" si="10">SUM(G112:G118)</f>
        <v>109</v>
      </c>
      <c r="M118" s="2">
        <f t="shared" si="10"/>
        <v>15</v>
      </c>
      <c r="N118" s="2">
        <f t="shared" si="10"/>
        <v>20</v>
      </c>
      <c r="O118" s="2">
        <f t="shared" si="10"/>
        <v>0</v>
      </c>
    </row>
    <row r="119" spans="1:15" x14ac:dyDescent="0.35">
      <c r="A119" s="4" t="s">
        <v>539</v>
      </c>
      <c r="B119" s="4" t="s">
        <v>540</v>
      </c>
      <c r="C119" s="99">
        <v>1501</v>
      </c>
      <c r="D119" s="16" t="s">
        <v>109</v>
      </c>
      <c r="E119" s="17" t="s">
        <v>17</v>
      </c>
      <c r="F119" s="12">
        <v>108</v>
      </c>
      <c r="G119" s="12">
        <v>19</v>
      </c>
      <c r="H119" s="14"/>
      <c r="I119" s="12">
        <v>2</v>
      </c>
      <c r="J119" s="14"/>
    </row>
    <row r="120" spans="1:15" x14ac:dyDescent="0.35">
      <c r="A120" s="80"/>
      <c r="B120" s="80"/>
      <c r="C120" s="100"/>
      <c r="D120" s="16" t="s">
        <v>109</v>
      </c>
      <c r="E120" s="17" t="s">
        <v>2</v>
      </c>
      <c r="F120" s="12">
        <v>55</v>
      </c>
      <c r="G120" s="12">
        <v>2</v>
      </c>
      <c r="H120" s="12">
        <v>5</v>
      </c>
      <c r="I120" s="12">
        <v>2</v>
      </c>
      <c r="J120" s="14"/>
    </row>
    <row r="121" spans="1:15" x14ac:dyDescent="0.35">
      <c r="A121" s="80"/>
      <c r="B121" s="80"/>
      <c r="C121" s="100"/>
      <c r="D121" s="16" t="s">
        <v>109</v>
      </c>
      <c r="E121" s="17" t="s">
        <v>3</v>
      </c>
      <c r="F121" s="12">
        <v>58</v>
      </c>
      <c r="G121" s="12">
        <v>3</v>
      </c>
      <c r="H121" s="12">
        <v>4</v>
      </c>
      <c r="I121" s="14"/>
      <c r="J121" s="14"/>
    </row>
    <row r="122" spans="1:15" x14ac:dyDescent="0.35">
      <c r="A122" s="80"/>
      <c r="B122" s="80"/>
      <c r="C122" s="100"/>
      <c r="D122" s="16" t="s">
        <v>109</v>
      </c>
      <c r="E122" s="17" t="s">
        <v>4</v>
      </c>
      <c r="F122" s="12">
        <v>52</v>
      </c>
      <c r="G122" s="12">
        <v>2</v>
      </c>
      <c r="H122" s="12">
        <v>4</v>
      </c>
      <c r="I122" s="12">
        <v>3</v>
      </c>
      <c r="J122" s="14"/>
    </row>
    <row r="123" spans="1:15" x14ac:dyDescent="0.35">
      <c r="A123" s="80"/>
      <c r="B123" s="80"/>
      <c r="C123" s="100"/>
      <c r="D123" s="16" t="s">
        <v>109</v>
      </c>
      <c r="E123" s="17" t="s">
        <v>5</v>
      </c>
      <c r="F123" s="12">
        <v>323</v>
      </c>
      <c r="G123" s="12">
        <v>19</v>
      </c>
      <c r="H123" s="12">
        <v>7</v>
      </c>
      <c r="I123" s="12">
        <v>5</v>
      </c>
      <c r="J123" s="14"/>
      <c r="K123" s="2">
        <f>SUM(F119:F123)</f>
        <v>596</v>
      </c>
      <c r="L123" s="2">
        <f t="shared" ref="L123:O123" si="11">SUM(G119:G123)</f>
        <v>45</v>
      </c>
      <c r="M123" s="2">
        <f t="shared" si="11"/>
        <v>20</v>
      </c>
      <c r="N123" s="2">
        <f t="shared" si="11"/>
        <v>12</v>
      </c>
      <c r="O123" s="2">
        <f t="shared" si="11"/>
        <v>0</v>
      </c>
    </row>
    <row r="124" spans="1:15" x14ac:dyDescent="0.35">
      <c r="A124" s="9" t="s">
        <v>541</v>
      </c>
      <c r="B124" s="9" t="s">
        <v>297</v>
      </c>
      <c r="C124" s="97">
        <v>809</v>
      </c>
      <c r="D124" s="16" t="s">
        <v>63</v>
      </c>
      <c r="E124" s="17" t="s">
        <v>17</v>
      </c>
      <c r="F124" s="13">
        <v>144</v>
      </c>
      <c r="G124" s="13">
        <v>44</v>
      </c>
      <c r="H124" s="13">
        <v>4</v>
      </c>
      <c r="I124" s="13">
        <v>7</v>
      </c>
      <c r="J124" s="15"/>
    </row>
    <row r="125" spans="1:15" x14ac:dyDescent="0.35">
      <c r="A125" s="9" t="s">
        <v>542</v>
      </c>
      <c r="B125" s="9" t="s">
        <v>297</v>
      </c>
      <c r="C125" s="97">
        <v>420</v>
      </c>
      <c r="D125" s="16" t="s">
        <v>63</v>
      </c>
      <c r="E125" s="17" t="s">
        <v>2</v>
      </c>
      <c r="F125" s="13">
        <v>104</v>
      </c>
      <c r="G125" s="13">
        <v>33</v>
      </c>
      <c r="H125" s="13">
        <v>4</v>
      </c>
      <c r="I125" s="13">
        <v>10</v>
      </c>
      <c r="J125" s="13">
        <v>1</v>
      </c>
    </row>
    <row r="126" spans="1:15" x14ac:dyDescent="0.35">
      <c r="A126" s="74"/>
      <c r="B126" s="74"/>
      <c r="C126" s="98"/>
      <c r="D126" s="16" t="s">
        <v>63</v>
      </c>
      <c r="E126" s="17" t="s">
        <v>3</v>
      </c>
      <c r="F126" s="13">
        <v>258</v>
      </c>
      <c r="G126" s="13">
        <v>58</v>
      </c>
      <c r="H126" s="13">
        <v>3</v>
      </c>
      <c r="I126" s="13">
        <v>7</v>
      </c>
      <c r="J126" s="15"/>
    </row>
    <row r="127" spans="1:15" x14ac:dyDescent="0.35">
      <c r="A127" s="74"/>
      <c r="B127" s="74"/>
      <c r="C127" s="98"/>
      <c r="D127" s="16" t="s">
        <v>63</v>
      </c>
      <c r="E127" s="17" t="s">
        <v>4</v>
      </c>
      <c r="F127" s="13">
        <v>146</v>
      </c>
      <c r="G127" s="13">
        <v>9</v>
      </c>
      <c r="H127" s="13">
        <v>2</v>
      </c>
      <c r="I127" s="13">
        <v>2</v>
      </c>
      <c r="J127" s="15"/>
      <c r="K127" s="2">
        <f>SUM(F125:F127)</f>
        <v>508</v>
      </c>
      <c r="L127" s="2">
        <f t="shared" ref="L127:O127" si="12">SUM(G125:G127)</f>
        <v>100</v>
      </c>
      <c r="M127" s="2">
        <f t="shared" si="12"/>
        <v>9</v>
      </c>
      <c r="N127" s="2">
        <f t="shared" si="12"/>
        <v>19</v>
      </c>
      <c r="O127" s="2">
        <f t="shared" si="12"/>
        <v>1</v>
      </c>
    </row>
    <row r="128" spans="1:15" x14ac:dyDescent="0.35">
      <c r="A128" s="4" t="s">
        <v>320</v>
      </c>
      <c r="B128" s="4" t="s">
        <v>321</v>
      </c>
      <c r="C128" s="99">
        <v>1525</v>
      </c>
      <c r="D128" s="16" t="s">
        <v>110</v>
      </c>
      <c r="E128" s="17" t="s">
        <v>17</v>
      </c>
      <c r="F128" s="12">
        <v>101</v>
      </c>
      <c r="G128" s="12">
        <v>38</v>
      </c>
      <c r="H128" s="12">
        <v>2</v>
      </c>
      <c r="I128" s="12">
        <v>7</v>
      </c>
      <c r="J128" s="14"/>
    </row>
    <row r="129" spans="1:17" x14ac:dyDescent="0.35">
      <c r="A129" s="80"/>
      <c r="B129" s="80"/>
      <c r="C129" s="100"/>
      <c r="D129" s="16" t="s">
        <v>110</v>
      </c>
      <c r="E129" s="17" t="s">
        <v>2</v>
      </c>
      <c r="F129" s="12">
        <v>111</v>
      </c>
      <c r="G129" s="12">
        <v>22</v>
      </c>
      <c r="H129" s="12">
        <v>1</v>
      </c>
      <c r="I129" s="12">
        <v>8</v>
      </c>
      <c r="J129" s="14"/>
    </row>
    <row r="130" spans="1:17" x14ac:dyDescent="0.35">
      <c r="A130" s="80"/>
      <c r="B130" s="80"/>
      <c r="C130" s="100"/>
      <c r="D130" s="16" t="s">
        <v>110</v>
      </c>
      <c r="E130" s="17" t="s">
        <v>3</v>
      </c>
      <c r="F130" s="12">
        <v>92</v>
      </c>
      <c r="G130" s="12">
        <v>8</v>
      </c>
      <c r="H130" s="12">
        <v>3</v>
      </c>
      <c r="I130" s="12">
        <v>3</v>
      </c>
      <c r="J130" s="14"/>
    </row>
    <row r="131" spans="1:17" x14ac:dyDescent="0.35">
      <c r="A131" s="80"/>
      <c r="B131" s="80"/>
      <c r="C131" s="100"/>
      <c r="D131" s="16" t="s">
        <v>110</v>
      </c>
      <c r="E131" s="17" t="s">
        <v>4</v>
      </c>
      <c r="F131" s="12">
        <v>213</v>
      </c>
      <c r="G131" s="12">
        <v>37</v>
      </c>
      <c r="H131" s="12">
        <v>7</v>
      </c>
      <c r="I131" s="12">
        <v>9</v>
      </c>
      <c r="J131" s="14"/>
    </row>
    <row r="132" spans="1:17" x14ac:dyDescent="0.35">
      <c r="A132" s="80"/>
      <c r="B132" s="80"/>
      <c r="C132" s="100"/>
      <c r="D132" s="16" t="s">
        <v>110</v>
      </c>
      <c r="E132" s="17" t="s">
        <v>5</v>
      </c>
      <c r="F132" s="12">
        <v>151</v>
      </c>
      <c r="G132" s="12">
        <v>16</v>
      </c>
      <c r="H132" s="12">
        <v>4</v>
      </c>
      <c r="I132" s="12">
        <v>7</v>
      </c>
      <c r="J132" s="14"/>
      <c r="K132" s="2">
        <f>SUM(F128:F132)</f>
        <v>668</v>
      </c>
      <c r="L132" s="2">
        <f t="shared" ref="L132:O132" si="13">SUM(G128:G132)</f>
        <v>121</v>
      </c>
      <c r="M132" s="2">
        <f t="shared" si="13"/>
        <v>17</v>
      </c>
      <c r="N132" s="2">
        <f t="shared" si="13"/>
        <v>34</v>
      </c>
      <c r="O132" s="2">
        <f t="shared" si="13"/>
        <v>0</v>
      </c>
      <c r="P132" s="2">
        <f>SUM(K132:O132)</f>
        <v>840</v>
      </c>
      <c r="Q132" s="168">
        <f>+P132+C128</f>
        <v>2365</v>
      </c>
    </row>
    <row r="133" spans="1:17" x14ac:dyDescent="0.35">
      <c r="A133" s="9" t="s">
        <v>543</v>
      </c>
      <c r="B133" s="9" t="s">
        <v>544</v>
      </c>
      <c r="C133" s="97">
        <v>790</v>
      </c>
      <c r="D133" s="16" t="s">
        <v>111</v>
      </c>
      <c r="E133" s="17" t="s">
        <v>17</v>
      </c>
      <c r="F133" s="13">
        <v>37</v>
      </c>
      <c r="G133" s="13">
        <v>11</v>
      </c>
      <c r="H133" s="15"/>
      <c r="I133" s="13">
        <v>2</v>
      </c>
      <c r="J133" s="15"/>
    </row>
    <row r="134" spans="1:17" x14ac:dyDescent="0.35">
      <c r="A134" s="74"/>
      <c r="B134" s="74"/>
      <c r="C134" s="98"/>
      <c r="D134" s="16" t="s">
        <v>111</v>
      </c>
      <c r="E134" s="17" t="s">
        <v>2</v>
      </c>
      <c r="F134" s="13">
        <v>63</v>
      </c>
      <c r="G134" s="13">
        <v>25</v>
      </c>
      <c r="H134" s="13">
        <v>1</v>
      </c>
      <c r="I134" s="13">
        <v>3</v>
      </c>
      <c r="J134" s="15"/>
    </row>
    <row r="135" spans="1:17" x14ac:dyDescent="0.35">
      <c r="A135" s="74"/>
      <c r="B135" s="74"/>
      <c r="C135" s="98"/>
      <c r="D135" s="16" t="s">
        <v>111</v>
      </c>
      <c r="E135" s="17" t="s">
        <v>3</v>
      </c>
      <c r="F135" s="13">
        <v>39</v>
      </c>
      <c r="G135" s="13">
        <v>30</v>
      </c>
      <c r="H135" s="15"/>
      <c r="I135" s="13">
        <v>5</v>
      </c>
      <c r="J135" s="15"/>
    </row>
    <row r="136" spans="1:17" x14ac:dyDescent="0.35">
      <c r="A136" s="74"/>
      <c r="B136" s="74"/>
      <c r="C136" s="98"/>
      <c r="D136" s="16" t="s">
        <v>111</v>
      </c>
      <c r="E136" s="17" t="s">
        <v>4</v>
      </c>
      <c r="F136" s="13">
        <v>165</v>
      </c>
      <c r="G136" s="13">
        <v>51</v>
      </c>
      <c r="H136" s="13">
        <v>6</v>
      </c>
      <c r="I136" s="13">
        <v>6</v>
      </c>
      <c r="J136" s="13">
        <v>1</v>
      </c>
    </row>
    <row r="137" spans="1:17" x14ac:dyDescent="0.35">
      <c r="A137" s="74"/>
      <c r="B137" s="74"/>
      <c r="C137" s="98"/>
      <c r="D137" s="16" t="s">
        <v>111</v>
      </c>
      <c r="E137" s="17" t="s">
        <v>5</v>
      </c>
      <c r="F137" s="13">
        <v>88</v>
      </c>
      <c r="G137" s="13">
        <v>24</v>
      </c>
      <c r="H137" s="15"/>
      <c r="I137" s="13">
        <v>7</v>
      </c>
      <c r="J137" s="13">
        <v>1</v>
      </c>
    </row>
    <row r="138" spans="1:17" x14ac:dyDescent="0.35">
      <c r="A138" s="74"/>
      <c r="B138" s="74"/>
      <c r="C138" s="98"/>
      <c r="D138" s="16" t="s">
        <v>111</v>
      </c>
      <c r="E138" s="17" t="s">
        <v>6</v>
      </c>
      <c r="F138" s="13">
        <v>41</v>
      </c>
      <c r="G138" s="13">
        <v>5</v>
      </c>
      <c r="H138" s="15"/>
      <c r="I138" s="13">
        <v>1</v>
      </c>
      <c r="J138" s="15"/>
      <c r="K138" s="2">
        <f>SUM(F133:F138)</f>
        <v>433</v>
      </c>
      <c r="L138" s="2">
        <f t="shared" ref="L138:O138" si="14">SUM(G133:G138)</f>
        <v>146</v>
      </c>
      <c r="M138" s="2">
        <f t="shared" si="14"/>
        <v>7</v>
      </c>
      <c r="N138" s="2">
        <f t="shared" si="14"/>
        <v>24</v>
      </c>
      <c r="O138" s="2">
        <f t="shared" si="14"/>
        <v>2</v>
      </c>
    </row>
    <row r="139" spans="1:17" x14ac:dyDescent="0.35">
      <c r="A139" s="4" t="s">
        <v>322</v>
      </c>
      <c r="B139" s="4" t="s">
        <v>323</v>
      </c>
      <c r="C139" s="99">
        <v>5983</v>
      </c>
      <c r="D139" s="16" t="s">
        <v>112</v>
      </c>
      <c r="E139" s="17" t="s">
        <v>0</v>
      </c>
      <c r="F139" s="12">
        <v>2</v>
      </c>
      <c r="G139" s="14"/>
      <c r="H139" s="14"/>
      <c r="I139" s="12">
        <v>2</v>
      </c>
      <c r="J139" s="14"/>
    </row>
    <row r="140" spans="1:17" x14ac:dyDescent="0.35">
      <c r="A140" s="80"/>
      <c r="B140" s="80"/>
      <c r="C140" s="100"/>
      <c r="D140" s="16" t="s">
        <v>112</v>
      </c>
      <c r="E140" s="17" t="s">
        <v>17</v>
      </c>
      <c r="F140" s="12">
        <v>48</v>
      </c>
      <c r="G140" s="12">
        <v>11</v>
      </c>
      <c r="H140" s="14"/>
      <c r="I140" s="12">
        <v>1</v>
      </c>
      <c r="J140" s="14"/>
    </row>
    <row r="141" spans="1:17" x14ac:dyDescent="0.35">
      <c r="A141" s="80"/>
      <c r="B141" s="80"/>
      <c r="C141" s="100"/>
      <c r="D141" s="16" t="s">
        <v>112</v>
      </c>
      <c r="E141" s="17" t="s">
        <v>2</v>
      </c>
      <c r="F141" s="12">
        <v>23</v>
      </c>
      <c r="G141" s="12">
        <v>3</v>
      </c>
      <c r="H141" s="12">
        <v>4</v>
      </c>
      <c r="I141" s="14"/>
      <c r="J141" s="14"/>
    </row>
    <row r="142" spans="1:17" x14ac:dyDescent="0.35">
      <c r="A142" s="80"/>
      <c r="B142" s="80"/>
      <c r="C142" s="100"/>
      <c r="D142" s="16" t="s">
        <v>112</v>
      </c>
      <c r="E142" s="17" t="s">
        <v>3</v>
      </c>
      <c r="F142" s="12">
        <v>56</v>
      </c>
      <c r="G142" s="12">
        <v>9</v>
      </c>
      <c r="H142" s="12">
        <v>4</v>
      </c>
      <c r="I142" s="12">
        <v>2</v>
      </c>
      <c r="J142" s="14"/>
    </row>
    <row r="143" spans="1:17" x14ac:dyDescent="0.35">
      <c r="A143" s="80"/>
      <c r="B143" s="80"/>
      <c r="C143" s="100"/>
      <c r="D143" s="16" t="s">
        <v>112</v>
      </c>
      <c r="E143" s="17" t="s">
        <v>4</v>
      </c>
      <c r="F143" s="12">
        <v>201</v>
      </c>
      <c r="G143" s="12">
        <v>27</v>
      </c>
      <c r="H143" s="12">
        <v>24</v>
      </c>
      <c r="I143" s="12">
        <v>6</v>
      </c>
      <c r="J143" s="14"/>
    </row>
    <row r="144" spans="1:17" x14ac:dyDescent="0.35">
      <c r="A144" s="80"/>
      <c r="B144" s="80"/>
      <c r="C144" s="100"/>
      <c r="D144" s="16" t="s">
        <v>112</v>
      </c>
      <c r="E144" s="17" t="s">
        <v>5</v>
      </c>
      <c r="F144" s="12">
        <v>506</v>
      </c>
      <c r="G144" s="12">
        <v>101</v>
      </c>
      <c r="H144" s="12">
        <v>12</v>
      </c>
      <c r="I144" s="12">
        <v>16</v>
      </c>
      <c r="J144" s="14"/>
    </row>
    <row r="145" spans="1:17" x14ac:dyDescent="0.35">
      <c r="A145" s="80"/>
      <c r="B145" s="80"/>
      <c r="C145" s="100"/>
      <c r="D145" s="16" t="s">
        <v>112</v>
      </c>
      <c r="E145" s="17" t="s">
        <v>6</v>
      </c>
      <c r="F145" s="12">
        <v>92</v>
      </c>
      <c r="G145" s="12">
        <v>18</v>
      </c>
      <c r="H145" s="14"/>
      <c r="I145" s="12">
        <v>1</v>
      </c>
      <c r="J145" s="14"/>
    </row>
    <row r="146" spans="1:17" x14ac:dyDescent="0.35">
      <c r="A146" s="80"/>
      <c r="B146" s="80"/>
      <c r="C146" s="100"/>
      <c r="D146" s="16" t="s">
        <v>112</v>
      </c>
      <c r="E146" s="17" t="s">
        <v>7</v>
      </c>
      <c r="F146" s="12">
        <v>533</v>
      </c>
      <c r="G146" s="12">
        <v>87</v>
      </c>
      <c r="H146" s="12">
        <v>17</v>
      </c>
      <c r="I146" s="12">
        <v>19</v>
      </c>
      <c r="J146" s="12">
        <v>3</v>
      </c>
    </row>
    <row r="147" spans="1:17" x14ac:dyDescent="0.35">
      <c r="A147" s="80"/>
      <c r="B147" s="80"/>
      <c r="C147" s="100"/>
      <c r="D147" s="16" t="s">
        <v>112</v>
      </c>
      <c r="E147" s="17" t="s">
        <v>8</v>
      </c>
      <c r="F147" s="12">
        <v>80</v>
      </c>
      <c r="G147" s="12">
        <v>21</v>
      </c>
      <c r="H147" s="12">
        <v>5</v>
      </c>
      <c r="I147" s="12">
        <v>1</v>
      </c>
      <c r="J147" s="14"/>
      <c r="K147" s="2">
        <f>SUM(F139:F147)</f>
        <v>1541</v>
      </c>
      <c r="L147" s="2">
        <f t="shared" ref="L147:O147" si="15">SUM(G139:G147)</f>
        <v>277</v>
      </c>
      <c r="M147" s="2">
        <f t="shared" si="15"/>
        <v>66</v>
      </c>
      <c r="N147" s="2">
        <f t="shared" si="15"/>
        <v>48</v>
      </c>
      <c r="O147" s="2">
        <f t="shared" si="15"/>
        <v>3</v>
      </c>
      <c r="P147" s="2">
        <f>SUM(F147:J147)</f>
        <v>107</v>
      </c>
      <c r="Q147" s="168">
        <f>+P147+C139</f>
        <v>6090</v>
      </c>
    </row>
    <row r="148" spans="1:17" x14ac:dyDescent="0.35">
      <c r="A148" s="9" t="s">
        <v>545</v>
      </c>
      <c r="B148" s="9" t="s">
        <v>546</v>
      </c>
      <c r="C148" s="97">
        <v>1656</v>
      </c>
      <c r="D148" s="16" t="s">
        <v>113</v>
      </c>
      <c r="E148" s="17" t="s">
        <v>17</v>
      </c>
      <c r="F148" s="13">
        <v>95</v>
      </c>
      <c r="G148" s="13">
        <v>16</v>
      </c>
      <c r="H148" s="13">
        <v>3</v>
      </c>
      <c r="I148" s="13">
        <v>7</v>
      </c>
      <c r="J148" s="13">
        <v>1</v>
      </c>
    </row>
    <row r="149" spans="1:17" x14ac:dyDescent="0.35">
      <c r="A149" s="74"/>
      <c r="B149" s="74"/>
      <c r="C149" s="98"/>
      <c r="D149" s="16" t="s">
        <v>113</v>
      </c>
      <c r="E149" s="17" t="s">
        <v>2</v>
      </c>
      <c r="F149" s="13">
        <v>67</v>
      </c>
      <c r="G149" s="13">
        <v>21</v>
      </c>
      <c r="H149" s="15"/>
      <c r="I149" s="13">
        <v>2</v>
      </c>
      <c r="J149" s="15"/>
    </row>
    <row r="150" spans="1:17" x14ac:dyDescent="0.35">
      <c r="A150" s="74"/>
      <c r="B150" s="74"/>
      <c r="C150" s="98"/>
      <c r="D150" s="16" t="s">
        <v>113</v>
      </c>
      <c r="E150" s="17" t="s">
        <v>3</v>
      </c>
      <c r="F150" s="13">
        <v>97</v>
      </c>
      <c r="G150" s="13">
        <v>32</v>
      </c>
      <c r="H150" s="13">
        <v>1</v>
      </c>
      <c r="I150" s="13">
        <v>3</v>
      </c>
      <c r="J150" s="15"/>
    </row>
    <row r="151" spans="1:17" x14ac:dyDescent="0.35">
      <c r="A151" s="74"/>
      <c r="B151" s="74"/>
      <c r="C151" s="98"/>
      <c r="D151" s="16" t="s">
        <v>113</v>
      </c>
      <c r="E151" s="17" t="s">
        <v>4</v>
      </c>
      <c r="F151" s="13">
        <v>96</v>
      </c>
      <c r="G151" s="13">
        <v>61</v>
      </c>
      <c r="H151" s="13">
        <v>3</v>
      </c>
      <c r="I151" s="13">
        <v>15</v>
      </c>
      <c r="J151" s="13">
        <v>1</v>
      </c>
    </row>
    <row r="152" spans="1:17" x14ac:dyDescent="0.35">
      <c r="A152" s="74"/>
      <c r="B152" s="74"/>
      <c r="C152" s="98"/>
      <c r="D152" s="16" t="s">
        <v>113</v>
      </c>
      <c r="E152" s="17" t="s">
        <v>5</v>
      </c>
      <c r="F152" s="13">
        <v>86</v>
      </c>
      <c r="G152" s="13">
        <v>37</v>
      </c>
      <c r="H152" s="13">
        <v>4</v>
      </c>
      <c r="I152" s="13">
        <v>4</v>
      </c>
      <c r="J152" s="15"/>
    </row>
    <row r="153" spans="1:17" x14ac:dyDescent="0.35">
      <c r="A153" s="74"/>
      <c r="B153" s="74"/>
      <c r="C153" s="98"/>
      <c r="D153" s="16" t="s">
        <v>113</v>
      </c>
      <c r="E153" s="17" t="s">
        <v>6</v>
      </c>
      <c r="F153" s="13">
        <v>45</v>
      </c>
      <c r="G153" s="13">
        <v>30</v>
      </c>
      <c r="H153" s="13">
        <v>3</v>
      </c>
      <c r="I153" s="13">
        <v>3</v>
      </c>
      <c r="J153" s="15"/>
    </row>
    <row r="154" spans="1:17" x14ac:dyDescent="0.35">
      <c r="A154" s="74"/>
      <c r="B154" s="74"/>
      <c r="C154" s="98"/>
      <c r="D154" s="16" t="s">
        <v>113</v>
      </c>
      <c r="E154" s="17" t="s">
        <v>7</v>
      </c>
      <c r="F154" s="13">
        <v>149</v>
      </c>
      <c r="G154" s="13">
        <v>28</v>
      </c>
      <c r="H154" s="13">
        <v>5</v>
      </c>
      <c r="I154" s="13">
        <v>6</v>
      </c>
      <c r="J154" s="13">
        <v>1</v>
      </c>
    </row>
    <row r="155" spans="1:17" x14ac:dyDescent="0.35">
      <c r="A155" s="74"/>
      <c r="B155" s="74"/>
      <c r="C155" s="98"/>
      <c r="D155" s="16" t="s">
        <v>113</v>
      </c>
      <c r="E155" s="17" t="s">
        <v>8</v>
      </c>
      <c r="F155" s="13">
        <v>116</v>
      </c>
      <c r="G155" s="13">
        <v>18</v>
      </c>
      <c r="H155" s="13">
        <v>11</v>
      </c>
      <c r="I155" s="13">
        <v>4</v>
      </c>
      <c r="J155" s="13">
        <v>1</v>
      </c>
      <c r="K155" s="2">
        <f>SUM(F148:F155)</f>
        <v>751</v>
      </c>
      <c r="L155" s="2">
        <f t="shared" ref="L155:O155" si="16">SUM(G148:G155)</f>
        <v>243</v>
      </c>
      <c r="M155" s="2">
        <f t="shared" si="16"/>
        <v>30</v>
      </c>
      <c r="N155" s="2">
        <f t="shared" si="16"/>
        <v>44</v>
      </c>
      <c r="O155" s="2">
        <f t="shared" si="16"/>
        <v>4</v>
      </c>
    </row>
    <row r="156" spans="1:17" x14ac:dyDescent="0.35">
      <c r="A156" s="4" t="s">
        <v>324</v>
      </c>
      <c r="B156" s="4" t="s">
        <v>325</v>
      </c>
      <c r="C156" s="99">
        <v>932</v>
      </c>
      <c r="D156" s="16" t="s">
        <v>114</v>
      </c>
      <c r="E156" s="17" t="s">
        <v>17</v>
      </c>
      <c r="F156" s="12">
        <v>178</v>
      </c>
      <c r="G156" s="12">
        <v>54</v>
      </c>
      <c r="H156" s="12">
        <v>3</v>
      </c>
      <c r="I156" s="12">
        <v>6</v>
      </c>
      <c r="J156" s="14"/>
    </row>
    <row r="157" spans="1:17" x14ac:dyDescent="0.35">
      <c r="A157" s="80"/>
      <c r="B157" s="80"/>
      <c r="C157" s="100"/>
      <c r="D157" s="16" t="s">
        <v>114</v>
      </c>
      <c r="E157" s="17" t="s">
        <v>2</v>
      </c>
      <c r="F157" s="12">
        <v>90</v>
      </c>
      <c r="G157" s="12">
        <v>29</v>
      </c>
      <c r="H157" s="12">
        <v>1</v>
      </c>
      <c r="I157" s="12">
        <v>5</v>
      </c>
      <c r="J157" s="14"/>
    </row>
    <row r="158" spans="1:17" x14ac:dyDescent="0.35">
      <c r="A158" s="80"/>
      <c r="B158" s="80"/>
      <c r="C158" s="100"/>
      <c r="D158" s="16" t="s">
        <v>114</v>
      </c>
      <c r="E158" s="17" t="s">
        <v>3</v>
      </c>
      <c r="F158" s="12">
        <v>75</v>
      </c>
      <c r="G158" s="12">
        <v>16</v>
      </c>
      <c r="H158" s="12">
        <v>3</v>
      </c>
      <c r="I158" s="12">
        <v>1</v>
      </c>
      <c r="J158" s="14"/>
    </row>
    <row r="159" spans="1:17" x14ac:dyDescent="0.35">
      <c r="A159" s="80"/>
      <c r="B159" s="80"/>
      <c r="C159" s="100"/>
      <c r="D159" s="16" t="s">
        <v>114</v>
      </c>
      <c r="E159" s="17" t="s">
        <v>4</v>
      </c>
      <c r="F159" s="12">
        <v>97</v>
      </c>
      <c r="G159" s="12">
        <v>15</v>
      </c>
      <c r="H159" s="14"/>
      <c r="I159" s="14"/>
      <c r="J159" s="14"/>
    </row>
    <row r="160" spans="1:17" x14ac:dyDescent="0.35">
      <c r="A160" s="80"/>
      <c r="B160" s="80"/>
      <c r="C160" s="100"/>
      <c r="D160" s="16" t="s">
        <v>114</v>
      </c>
      <c r="E160" s="17" t="s">
        <v>5</v>
      </c>
      <c r="F160" s="12">
        <v>76</v>
      </c>
      <c r="G160" s="12">
        <v>19</v>
      </c>
      <c r="H160" s="14"/>
      <c r="I160" s="12">
        <v>2</v>
      </c>
      <c r="J160" s="14"/>
      <c r="K160" s="2">
        <f>SUM(F156:F160)</f>
        <v>516</v>
      </c>
      <c r="L160" s="2">
        <f t="shared" ref="L160:O160" si="17">SUM(G156:G160)</f>
        <v>133</v>
      </c>
      <c r="M160" s="2">
        <f t="shared" si="17"/>
        <v>7</v>
      </c>
      <c r="N160" s="2">
        <f t="shared" si="17"/>
        <v>14</v>
      </c>
      <c r="O160" s="2">
        <f t="shared" si="17"/>
        <v>0</v>
      </c>
    </row>
    <row r="161" spans="1:10" x14ac:dyDescent="0.35">
      <c r="A161" s="81"/>
      <c r="B161" s="81"/>
      <c r="C161" s="106">
        <f>SUM(C5:C156)</f>
        <v>60174</v>
      </c>
      <c r="D161" s="304" t="s">
        <v>231</v>
      </c>
      <c r="E161" s="305"/>
      <c r="F161" s="20">
        <f>SUM(F5:F160)</f>
        <v>26481</v>
      </c>
      <c r="G161" s="20">
        <f>SUM(G5:G160)</f>
        <v>6010</v>
      </c>
      <c r="H161" s="20">
        <f>SUM(H5:H160)</f>
        <v>748</v>
      </c>
      <c r="I161" s="20">
        <f>SUM(I5:I160)</f>
        <v>1055</v>
      </c>
      <c r="J161" s="20">
        <f>SUM(J5:J160)</f>
        <v>55</v>
      </c>
    </row>
    <row r="162" spans="1:10" x14ac:dyDescent="0.35">
      <c r="A162" s="306" t="s">
        <v>733</v>
      </c>
      <c r="B162" s="307"/>
      <c r="C162" s="107">
        <f>SUM(C161,F161,G161,H161,I161,J161)</f>
        <v>94523</v>
      </c>
    </row>
    <row r="163" spans="1:10" x14ac:dyDescent="0.35">
      <c r="F163" s="109"/>
    </row>
    <row r="164" spans="1:10" x14ac:dyDescent="0.35">
      <c r="H164" s="1"/>
      <c r="I164" s="1"/>
    </row>
  </sheetData>
  <mergeCells count="7">
    <mergeCell ref="A162:B162"/>
    <mergeCell ref="D161:E161"/>
    <mergeCell ref="D1:J1"/>
    <mergeCell ref="D2:J2"/>
    <mergeCell ref="F3:J3"/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33" zoomScale="90" zoomScaleNormal="90" workbookViewId="0">
      <selection activeCell="K43" sqref="K43:O43"/>
    </sheetView>
  </sheetViews>
  <sheetFormatPr defaultRowHeight="21" x14ac:dyDescent="0.35"/>
  <cols>
    <col min="1" max="1" width="14.28515625" style="2" customWidth="1"/>
    <col min="2" max="2" width="19.7109375" style="2" customWidth="1"/>
    <col min="3" max="3" width="19.42578125" style="95" customWidth="1"/>
    <col min="4" max="4" width="14.5703125" style="2" customWidth="1"/>
    <col min="5" max="5" width="9.140625" style="22"/>
    <col min="6" max="6" width="13.7109375" style="22" customWidth="1"/>
    <col min="7" max="7" width="13.42578125" style="22" customWidth="1"/>
    <col min="8" max="8" width="12.85546875" style="22" customWidth="1"/>
    <col min="9" max="9" width="20.42578125" style="22" customWidth="1"/>
    <col min="10" max="10" width="14.85546875" style="22" customWidth="1"/>
    <col min="11" max="16384" width="9.140625" style="2"/>
  </cols>
  <sheetData>
    <row r="1" spans="1:15" x14ac:dyDescent="0.35">
      <c r="A1" s="302" t="s">
        <v>734</v>
      </c>
      <c r="B1" s="302"/>
      <c r="C1" s="302"/>
      <c r="D1" s="298" t="s">
        <v>245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A3" s="91"/>
      <c r="B3" s="91"/>
      <c r="C3" s="110"/>
      <c r="D3" s="92"/>
      <c r="E3" s="92"/>
      <c r="F3" s="310" t="s">
        <v>718</v>
      </c>
      <c r="G3" s="310"/>
      <c r="H3" s="310"/>
      <c r="I3" s="310"/>
      <c r="J3" s="310"/>
    </row>
    <row r="4" spans="1:15" x14ac:dyDescent="0.35">
      <c r="A4" s="86" t="s">
        <v>716</v>
      </c>
      <c r="B4" s="86" t="s">
        <v>256</v>
      </c>
      <c r="C4" s="87" t="s">
        <v>717</v>
      </c>
      <c r="D4" s="45" t="s">
        <v>223</v>
      </c>
      <c r="E4" s="14" t="s">
        <v>222</v>
      </c>
      <c r="F4" s="14" t="s">
        <v>218</v>
      </c>
      <c r="G4" s="14" t="s">
        <v>219</v>
      </c>
      <c r="H4" s="14" t="s">
        <v>220</v>
      </c>
      <c r="I4" s="14" t="s">
        <v>240</v>
      </c>
      <c r="J4" s="14" t="s">
        <v>221</v>
      </c>
    </row>
    <row r="5" spans="1:15" x14ac:dyDescent="0.35">
      <c r="A5" s="9" t="s">
        <v>553</v>
      </c>
      <c r="B5" s="9" t="s">
        <v>554</v>
      </c>
      <c r="C5" s="97">
        <v>2216</v>
      </c>
      <c r="D5" s="43" t="s">
        <v>115</v>
      </c>
      <c r="E5" s="12" t="s">
        <v>17</v>
      </c>
      <c r="F5" s="13">
        <v>49</v>
      </c>
      <c r="G5" s="13">
        <v>9</v>
      </c>
      <c r="H5" s="15"/>
      <c r="I5" s="15"/>
      <c r="J5" s="15"/>
    </row>
    <row r="6" spans="1:15" x14ac:dyDescent="0.35">
      <c r="D6" s="43" t="s">
        <v>115</v>
      </c>
      <c r="E6" s="12" t="s">
        <v>2</v>
      </c>
      <c r="F6" s="13">
        <v>51</v>
      </c>
      <c r="G6" s="13">
        <v>18</v>
      </c>
      <c r="H6" s="13">
        <v>3</v>
      </c>
      <c r="I6" s="13">
        <v>3</v>
      </c>
      <c r="J6" s="15"/>
    </row>
    <row r="7" spans="1:15" x14ac:dyDescent="0.35">
      <c r="A7" s="74"/>
      <c r="B7" s="74"/>
      <c r="C7" s="98"/>
      <c r="D7" s="43" t="s">
        <v>115</v>
      </c>
      <c r="E7" s="12" t="s">
        <v>3</v>
      </c>
      <c r="F7" s="13">
        <v>80</v>
      </c>
      <c r="G7" s="13">
        <v>23</v>
      </c>
      <c r="H7" s="13">
        <v>14</v>
      </c>
      <c r="I7" s="13">
        <v>4</v>
      </c>
      <c r="J7" s="15"/>
    </row>
    <row r="8" spans="1:15" x14ac:dyDescent="0.35">
      <c r="A8" s="74"/>
      <c r="B8" s="74"/>
      <c r="C8" s="98"/>
      <c r="D8" s="43" t="s">
        <v>115</v>
      </c>
      <c r="E8" s="12" t="s">
        <v>4</v>
      </c>
      <c r="F8" s="13">
        <v>26</v>
      </c>
      <c r="G8" s="13">
        <v>20</v>
      </c>
      <c r="H8" s="13">
        <v>1</v>
      </c>
      <c r="I8" s="13">
        <v>3</v>
      </c>
      <c r="J8" s="13">
        <v>1</v>
      </c>
    </row>
    <row r="9" spans="1:15" x14ac:dyDescent="0.35">
      <c r="A9" s="74"/>
      <c r="B9" s="74"/>
      <c r="C9" s="98"/>
      <c r="D9" s="43" t="s">
        <v>115</v>
      </c>
      <c r="E9" s="12" t="s">
        <v>5</v>
      </c>
      <c r="F9" s="13">
        <v>121</v>
      </c>
      <c r="G9" s="13">
        <v>22</v>
      </c>
      <c r="H9" s="13">
        <v>16</v>
      </c>
      <c r="I9" s="13">
        <v>3</v>
      </c>
      <c r="J9" s="13">
        <v>2</v>
      </c>
    </row>
    <row r="10" spans="1:15" x14ac:dyDescent="0.35">
      <c r="A10" s="74"/>
      <c r="B10" s="74"/>
      <c r="C10" s="98"/>
      <c r="D10" s="43" t="s">
        <v>115</v>
      </c>
      <c r="E10" s="12" t="s">
        <v>6</v>
      </c>
      <c r="F10" s="13">
        <v>363</v>
      </c>
      <c r="G10" s="13">
        <v>255</v>
      </c>
      <c r="H10" s="13">
        <v>21</v>
      </c>
      <c r="I10" s="13">
        <v>31</v>
      </c>
      <c r="J10" s="15"/>
    </row>
    <row r="11" spans="1:15" x14ac:dyDescent="0.35">
      <c r="A11" s="74"/>
      <c r="B11" s="74"/>
      <c r="C11" s="98"/>
      <c r="D11" s="43" t="s">
        <v>115</v>
      </c>
      <c r="E11" s="12" t="s">
        <v>7</v>
      </c>
      <c r="F11" s="13">
        <v>156</v>
      </c>
      <c r="G11" s="13">
        <v>17</v>
      </c>
      <c r="H11" s="13">
        <v>3</v>
      </c>
      <c r="I11" s="13">
        <v>4</v>
      </c>
      <c r="J11" s="15"/>
    </row>
    <row r="12" spans="1:15" x14ac:dyDescent="0.35">
      <c r="A12" s="74"/>
      <c r="B12" s="74"/>
      <c r="C12" s="98"/>
      <c r="D12" s="43" t="s">
        <v>115</v>
      </c>
      <c r="E12" s="12" t="s">
        <v>15</v>
      </c>
      <c r="F12" s="13">
        <v>4</v>
      </c>
      <c r="G12" s="15"/>
      <c r="H12" s="15"/>
      <c r="I12" s="15"/>
      <c r="J12" s="15"/>
      <c r="K12" s="2">
        <f>SUM(F5:F12)</f>
        <v>850</v>
      </c>
      <c r="L12" s="2">
        <f t="shared" ref="L12:O12" si="0">SUM(G5:G12)</f>
        <v>364</v>
      </c>
      <c r="M12" s="2">
        <f t="shared" si="0"/>
        <v>58</v>
      </c>
      <c r="N12" s="2">
        <f t="shared" si="0"/>
        <v>48</v>
      </c>
      <c r="O12" s="2">
        <f t="shared" si="0"/>
        <v>3</v>
      </c>
    </row>
    <row r="13" spans="1:15" x14ac:dyDescent="0.35">
      <c r="A13" s="4" t="s">
        <v>326</v>
      </c>
      <c r="B13" s="4" t="s">
        <v>327</v>
      </c>
      <c r="C13" s="99">
        <v>1003</v>
      </c>
      <c r="D13" s="43" t="s">
        <v>116</v>
      </c>
      <c r="E13" s="12" t="s">
        <v>17</v>
      </c>
      <c r="F13" s="12">
        <v>95</v>
      </c>
      <c r="G13" s="12">
        <v>23</v>
      </c>
      <c r="H13" s="12">
        <v>3</v>
      </c>
      <c r="I13" s="12">
        <v>6</v>
      </c>
      <c r="J13" s="14"/>
    </row>
    <row r="14" spans="1:15" x14ac:dyDescent="0.35">
      <c r="A14" s="80"/>
      <c r="B14" s="80"/>
      <c r="C14" s="100"/>
      <c r="D14" s="43" t="s">
        <v>116</v>
      </c>
      <c r="E14" s="12" t="s">
        <v>2</v>
      </c>
      <c r="F14" s="12">
        <v>90</v>
      </c>
      <c r="G14" s="12">
        <v>24</v>
      </c>
      <c r="H14" s="14"/>
      <c r="I14" s="12">
        <v>3</v>
      </c>
      <c r="J14" s="12">
        <v>1</v>
      </c>
    </row>
    <row r="15" spans="1:15" x14ac:dyDescent="0.35">
      <c r="A15" s="80"/>
      <c r="B15" s="80"/>
      <c r="C15" s="100"/>
      <c r="D15" s="43" t="s">
        <v>116</v>
      </c>
      <c r="E15" s="12" t="s">
        <v>3</v>
      </c>
      <c r="F15" s="12">
        <v>83</v>
      </c>
      <c r="G15" s="12">
        <v>35</v>
      </c>
      <c r="H15" s="14"/>
      <c r="I15" s="12">
        <v>2</v>
      </c>
      <c r="J15" s="14"/>
    </row>
    <row r="16" spans="1:15" x14ac:dyDescent="0.35">
      <c r="A16" s="80"/>
      <c r="B16" s="80"/>
      <c r="C16" s="100"/>
      <c r="D16" s="43" t="s">
        <v>116</v>
      </c>
      <c r="E16" s="12" t="s">
        <v>4</v>
      </c>
      <c r="F16" s="12">
        <v>85</v>
      </c>
      <c r="G16" s="12">
        <v>19</v>
      </c>
      <c r="H16" s="14"/>
      <c r="I16" s="12">
        <v>1</v>
      </c>
      <c r="J16" s="14"/>
    </row>
    <row r="17" spans="1:15" x14ac:dyDescent="0.35">
      <c r="A17" s="80"/>
      <c r="B17" s="80"/>
      <c r="C17" s="100"/>
      <c r="D17" s="43" t="s">
        <v>116</v>
      </c>
      <c r="E17" s="12" t="s">
        <v>5</v>
      </c>
      <c r="F17" s="12">
        <v>70</v>
      </c>
      <c r="G17" s="12">
        <v>23</v>
      </c>
      <c r="H17" s="14"/>
      <c r="I17" s="12">
        <v>2</v>
      </c>
      <c r="J17" s="14"/>
    </row>
    <row r="18" spans="1:15" x14ac:dyDescent="0.35">
      <c r="A18" s="80"/>
      <c r="B18" s="80"/>
      <c r="C18" s="100"/>
      <c r="D18" s="43" t="s">
        <v>116</v>
      </c>
      <c r="E18" s="12" t="s">
        <v>6</v>
      </c>
      <c r="F18" s="12">
        <v>78</v>
      </c>
      <c r="G18" s="12">
        <v>24</v>
      </c>
      <c r="H18" s="14"/>
      <c r="I18" s="12">
        <v>2</v>
      </c>
      <c r="J18" s="14"/>
      <c r="K18" s="2">
        <f>SUM(F13:F18)</f>
        <v>501</v>
      </c>
      <c r="L18" s="2">
        <f t="shared" ref="L18:O18" si="1">SUM(G13:G18)</f>
        <v>148</v>
      </c>
      <c r="M18" s="2">
        <f t="shared" si="1"/>
        <v>3</v>
      </c>
      <c r="N18" s="2">
        <f t="shared" si="1"/>
        <v>16</v>
      </c>
      <c r="O18" s="2">
        <f t="shared" si="1"/>
        <v>1</v>
      </c>
    </row>
    <row r="19" spans="1:15" x14ac:dyDescent="0.35">
      <c r="A19" s="9" t="s">
        <v>483</v>
      </c>
      <c r="B19" s="9" t="s">
        <v>484</v>
      </c>
      <c r="C19" s="97">
        <v>2038</v>
      </c>
      <c r="D19" s="43" t="s">
        <v>117</v>
      </c>
      <c r="E19" s="12" t="s">
        <v>17</v>
      </c>
      <c r="F19" s="13">
        <v>99</v>
      </c>
      <c r="G19" s="13">
        <v>41</v>
      </c>
      <c r="H19" s="13">
        <v>6</v>
      </c>
      <c r="I19" s="13">
        <v>4</v>
      </c>
      <c r="J19" s="13">
        <v>1</v>
      </c>
    </row>
    <row r="20" spans="1:15" x14ac:dyDescent="0.35">
      <c r="A20" s="74"/>
      <c r="B20" s="74"/>
      <c r="C20" s="98"/>
      <c r="D20" s="43" t="s">
        <v>117</v>
      </c>
      <c r="E20" s="12" t="s">
        <v>2</v>
      </c>
      <c r="F20" s="13">
        <v>37</v>
      </c>
      <c r="G20" s="13">
        <v>30</v>
      </c>
      <c r="H20" s="13">
        <v>1</v>
      </c>
      <c r="I20" s="13">
        <v>2</v>
      </c>
      <c r="J20" s="15"/>
    </row>
    <row r="21" spans="1:15" x14ac:dyDescent="0.35">
      <c r="A21" s="74"/>
      <c r="B21" s="74"/>
      <c r="C21" s="98"/>
      <c r="D21" s="43" t="s">
        <v>117</v>
      </c>
      <c r="E21" s="12" t="s">
        <v>3</v>
      </c>
      <c r="F21" s="13">
        <v>135</v>
      </c>
      <c r="G21" s="13">
        <v>36</v>
      </c>
      <c r="H21" s="15"/>
      <c r="I21" s="13">
        <v>6</v>
      </c>
      <c r="J21" s="15"/>
    </row>
    <row r="22" spans="1:15" x14ac:dyDescent="0.35">
      <c r="A22" s="74"/>
      <c r="B22" s="74"/>
      <c r="C22" s="98"/>
      <c r="D22" s="43" t="s">
        <v>117</v>
      </c>
      <c r="E22" s="12" t="s">
        <v>4</v>
      </c>
      <c r="F22" s="13">
        <v>175</v>
      </c>
      <c r="G22" s="13">
        <v>19</v>
      </c>
      <c r="H22" s="13">
        <v>10</v>
      </c>
      <c r="I22" s="13">
        <v>3</v>
      </c>
      <c r="J22" s="15"/>
    </row>
    <row r="23" spans="1:15" x14ac:dyDescent="0.35">
      <c r="A23" s="74"/>
      <c r="B23" s="74"/>
      <c r="C23" s="98"/>
      <c r="D23" s="43" t="s">
        <v>117</v>
      </c>
      <c r="E23" s="12" t="s">
        <v>5</v>
      </c>
      <c r="F23" s="13">
        <v>163</v>
      </c>
      <c r="G23" s="13">
        <v>41</v>
      </c>
      <c r="H23" s="13">
        <v>7</v>
      </c>
      <c r="I23" s="13">
        <v>4</v>
      </c>
      <c r="J23" s="13">
        <v>1</v>
      </c>
    </row>
    <row r="24" spans="1:15" x14ac:dyDescent="0.35">
      <c r="A24" s="74"/>
      <c r="B24" s="74"/>
      <c r="C24" s="98"/>
      <c r="D24" s="43" t="s">
        <v>117</v>
      </c>
      <c r="E24" s="12" t="s">
        <v>6</v>
      </c>
      <c r="F24" s="13">
        <v>120</v>
      </c>
      <c r="G24" s="13">
        <v>15</v>
      </c>
      <c r="H24" s="13">
        <v>2</v>
      </c>
      <c r="I24" s="13">
        <v>2</v>
      </c>
      <c r="J24" s="15"/>
      <c r="K24" s="2">
        <f>SUM(F19:F24)</f>
        <v>729</v>
      </c>
      <c r="L24" s="2">
        <f t="shared" ref="L24:O24" si="2">SUM(G19:G24)</f>
        <v>182</v>
      </c>
      <c r="M24" s="2">
        <f t="shared" si="2"/>
        <v>26</v>
      </c>
      <c r="N24" s="2">
        <f t="shared" si="2"/>
        <v>21</v>
      </c>
      <c r="O24" s="2">
        <f t="shared" si="2"/>
        <v>2</v>
      </c>
    </row>
    <row r="25" spans="1:15" x14ac:dyDescent="0.35">
      <c r="A25" s="4" t="s">
        <v>555</v>
      </c>
      <c r="B25" s="4" t="s">
        <v>556</v>
      </c>
      <c r="C25" s="99">
        <v>1341</v>
      </c>
      <c r="D25" s="43" t="s">
        <v>118</v>
      </c>
      <c r="E25" s="12" t="s">
        <v>17</v>
      </c>
      <c r="F25" s="12">
        <v>188</v>
      </c>
      <c r="G25" s="12">
        <v>84</v>
      </c>
      <c r="H25" s="12">
        <v>6</v>
      </c>
      <c r="I25" s="12">
        <v>11</v>
      </c>
      <c r="J25" s="14"/>
    </row>
    <row r="26" spans="1:15" x14ac:dyDescent="0.35">
      <c r="A26" s="80"/>
      <c r="B26" s="80"/>
      <c r="C26" s="100"/>
      <c r="D26" s="43" t="s">
        <v>118</v>
      </c>
      <c r="E26" s="12" t="s">
        <v>2</v>
      </c>
      <c r="F26" s="12">
        <v>130</v>
      </c>
      <c r="G26" s="12">
        <v>30</v>
      </c>
      <c r="H26" s="12">
        <v>4</v>
      </c>
      <c r="I26" s="12">
        <v>3</v>
      </c>
      <c r="J26" s="14"/>
    </row>
    <row r="27" spans="1:15" x14ac:dyDescent="0.35">
      <c r="A27" s="80"/>
      <c r="B27" s="80"/>
      <c r="C27" s="100"/>
      <c r="D27" s="43" t="s">
        <v>118</v>
      </c>
      <c r="E27" s="12" t="s">
        <v>3</v>
      </c>
      <c r="F27" s="12">
        <v>97</v>
      </c>
      <c r="G27" s="12">
        <v>46</v>
      </c>
      <c r="H27" s="12">
        <v>1</v>
      </c>
      <c r="I27" s="12">
        <v>9</v>
      </c>
      <c r="J27" s="14"/>
    </row>
    <row r="28" spans="1:15" x14ac:dyDescent="0.35">
      <c r="A28" s="80"/>
      <c r="B28" s="80"/>
      <c r="C28" s="100"/>
      <c r="D28" s="43" t="s">
        <v>118</v>
      </c>
      <c r="E28" s="12" t="s">
        <v>4</v>
      </c>
      <c r="F28" s="12">
        <v>77</v>
      </c>
      <c r="G28" s="12">
        <v>30</v>
      </c>
      <c r="H28" s="12">
        <v>1</v>
      </c>
      <c r="I28" s="12">
        <v>3</v>
      </c>
      <c r="J28" s="14"/>
    </row>
    <row r="29" spans="1:15" x14ac:dyDescent="0.35">
      <c r="A29" s="80"/>
      <c r="B29" s="80"/>
      <c r="C29" s="100"/>
      <c r="D29" s="43" t="s">
        <v>118</v>
      </c>
      <c r="E29" s="12" t="s">
        <v>5</v>
      </c>
      <c r="F29" s="12">
        <v>102</v>
      </c>
      <c r="G29" s="12">
        <v>49</v>
      </c>
      <c r="H29" s="12">
        <v>2</v>
      </c>
      <c r="I29" s="12">
        <v>5</v>
      </c>
      <c r="J29" s="14"/>
      <c r="K29" s="2">
        <f>SUM(F25:F29)</f>
        <v>594</v>
      </c>
      <c r="L29" s="2">
        <f t="shared" ref="L29:O29" si="3">SUM(G25:G29)</f>
        <v>239</v>
      </c>
      <c r="M29" s="2">
        <f t="shared" si="3"/>
        <v>14</v>
      </c>
      <c r="N29" s="2">
        <f t="shared" si="3"/>
        <v>31</v>
      </c>
      <c r="O29" s="2">
        <f t="shared" si="3"/>
        <v>0</v>
      </c>
    </row>
    <row r="30" spans="1:15" x14ac:dyDescent="0.35">
      <c r="A30" s="9" t="s">
        <v>557</v>
      </c>
      <c r="B30" s="9" t="s">
        <v>558</v>
      </c>
      <c r="C30" s="97">
        <v>1180</v>
      </c>
      <c r="D30" s="43" t="s">
        <v>119</v>
      </c>
      <c r="E30" s="12" t="s">
        <v>17</v>
      </c>
      <c r="F30" s="13">
        <v>180</v>
      </c>
      <c r="G30" s="13">
        <v>62</v>
      </c>
      <c r="H30" s="13">
        <v>7</v>
      </c>
      <c r="I30" s="13">
        <v>18</v>
      </c>
      <c r="J30" s="15"/>
    </row>
    <row r="31" spans="1:15" x14ac:dyDescent="0.35">
      <c r="A31" s="74"/>
      <c r="B31" s="74"/>
      <c r="C31" s="98"/>
      <c r="D31" s="43" t="s">
        <v>119</v>
      </c>
      <c r="E31" s="12" t="s">
        <v>2</v>
      </c>
      <c r="F31" s="13">
        <v>107</v>
      </c>
      <c r="G31" s="13">
        <v>28</v>
      </c>
      <c r="H31" s="13">
        <v>3</v>
      </c>
      <c r="I31" s="13">
        <v>6</v>
      </c>
      <c r="J31" s="15"/>
    </row>
    <row r="32" spans="1:15" x14ac:dyDescent="0.35">
      <c r="A32" s="74"/>
      <c r="B32" s="74"/>
      <c r="C32" s="98"/>
      <c r="D32" s="43" t="s">
        <v>119</v>
      </c>
      <c r="E32" s="12" t="s">
        <v>3</v>
      </c>
      <c r="F32" s="13">
        <v>138</v>
      </c>
      <c r="G32" s="13">
        <v>36</v>
      </c>
      <c r="H32" s="13">
        <v>1</v>
      </c>
      <c r="I32" s="13">
        <v>6</v>
      </c>
      <c r="J32" s="15"/>
    </row>
    <row r="33" spans="1:15" x14ac:dyDescent="0.35">
      <c r="A33" s="74"/>
      <c r="B33" s="74"/>
      <c r="C33" s="98"/>
      <c r="D33" s="43" t="s">
        <v>119</v>
      </c>
      <c r="E33" s="12" t="s">
        <v>4</v>
      </c>
      <c r="F33" s="13">
        <v>118</v>
      </c>
      <c r="G33" s="13">
        <v>46</v>
      </c>
      <c r="H33" s="13">
        <v>5</v>
      </c>
      <c r="I33" s="13">
        <v>5</v>
      </c>
      <c r="J33" s="13">
        <v>1</v>
      </c>
      <c r="K33" s="2">
        <f>SUM(F30:F33)</f>
        <v>543</v>
      </c>
      <c r="L33" s="2">
        <f t="shared" ref="L33:O33" si="4">SUM(G30:G33)</f>
        <v>172</v>
      </c>
      <c r="M33" s="2">
        <f t="shared" si="4"/>
        <v>16</v>
      </c>
      <c r="N33" s="2">
        <f t="shared" si="4"/>
        <v>35</v>
      </c>
      <c r="O33" s="2">
        <f t="shared" si="4"/>
        <v>1</v>
      </c>
    </row>
    <row r="34" spans="1:15" x14ac:dyDescent="0.35">
      <c r="A34" s="4" t="s">
        <v>559</v>
      </c>
      <c r="B34" s="4" t="s">
        <v>560</v>
      </c>
      <c r="C34" s="99">
        <v>862</v>
      </c>
      <c r="D34" s="43" t="s">
        <v>120</v>
      </c>
      <c r="E34" s="12" t="s">
        <v>17</v>
      </c>
      <c r="F34" s="12">
        <v>188</v>
      </c>
      <c r="G34" s="12">
        <v>42</v>
      </c>
      <c r="H34" s="12">
        <v>8</v>
      </c>
      <c r="I34" s="12">
        <v>7</v>
      </c>
      <c r="J34" s="14"/>
    </row>
    <row r="35" spans="1:15" x14ac:dyDescent="0.35">
      <c r="A35" s="80"/>
      <c r="B35" s="80"/>
      <c r="C35" s="100"/>
      <c r="D35" s="43" t="s">
        <v>120</v>
      </c>
      <c r="E35" s="12" t="s">
        <v>2</v>
      </c>
      <c r="F35" s="12">
        <v>131</v>
      </c>
      <c r="G35" s="12">
        <v>10</v>
      </c>
      <c r="H35" s="12">
        <v>1</v>
      </c>
      <c r="I35" s="12">
        <v>1</v>
      </c>
      <c r="J35" s="14"/>
    </row>
    <row r="36" spans="1:15" x14ac:dyDescent="0.35">
      <c r="A36" s="80"/>
      <c r="B36" s="80"/>
      <c r="C36" s="100"/>
      <c r="D36" s="43" t="s">
        <v>120</v>
      </c>
      <c r="E36" s="12" t="s">
        <v>3</v>
      </c>
      <c r="F36" s="12">
        <v>113</v>
      </c>
      <c r="G36" s="12">
        <v>23</v>
      </c>
      <c r="H36" s="12">
        <v>6</v>
      </c>
      <c r="I36" s="12">
        <v>4</v>
      </c>
      <c r="J36" s="12">
        <v>1</v>
      </c>
      <c r="K36" s="2">
        <f>SUM(F34:F36)</f>
        <v>432</v>
      </c>
      <c r="L36" s="2">
        <f t="shared" ref="L36:O36" si="5">SUM(G34:G36)</f>
        <v>75</v>
      </c>
      <c r="M36" s="2">
        <f t="shared" si="5"/>
        <v>15</v>
      </c>
      <c r="N36" s="2">
        <f t="shared" si="5"/>
        <v>12</v>
      </c>
      <c r="O36" s="2">
        <f t="shared" si="5"/>
        <v>1</v>
      </c>
    </row>
    <row r="37" spans="1:15" x14ac:dyDescent="0.35">
      <c r="A37" s="9" t="s">
        <v>561</v>
      </c>
      <c r="B37" s="9" t="s">
        <v>562</v>
      </c>
      <c r="C37" s="97">
        <v>2295</v>
      </c>
      <c r="D37" s="43" t="s">
        <v>121</v>
      </c>
      <c r="E37" s="12" t="s">
        <v>17</v>
      </c>
      <c r="F37" s="13">
        <v>139</v>
      </c>
      <c r="G37" s="13">
        <v>47</v>
      </c>
      <c r="H37" s="13">
        <v>1</v>
      </c>
      <c r="I37" s="13">
        <v>5</v>
      </c>
      <c r="J37" s="15"/>
    </row>
    <row r="38" spans="1:15" x14ac:dyDescent="0.35">
      <c r="A38" s="74"/>
      <c r="B38" s="74"/>
      <c r="C38" s="98"/>
      <c r="D38" s="43" t="s">
        <v>121</v>
      </c>
      <c r="E38" s="12" t="s">
        <v>2</v>
      </c>
      <c r="F38" s="13">
        <v>114</v>
      </c>
      <c r="G38" s="13">
        <v>22</v>
      </c>
      <c r="H38" s="13">
        <v>2</v>
      </c>
      <c r="I38" s="13">
        <v>4</v>
      </c>
      <c r="J38" s="15"/>
    </row>
    <row r="39" spans="1:15" x14ac:dyDescent="0.35">
      <c r="A39" s="74"/>
      <c r="B39" s="74"/>
      <c r="C39" s="98"/>
      <c r="D39" s="43" t="s">
        <v>121</v>
      </c>
      <c r="E39" s="12" t="s">
        <v>3</v>
      </c>
      <c r="F39" s="13">
        <v>183</v>
      </c>
      <c r="G39" s="13">
        <v>37</v>
      </c>
      <c r="H39" s="13">
        <v>2</v>
      </c>
      <c r="I39" s="13">
        <v>13</v>
      </c>
      <c r="J39" s="15"/>
    </row>
    <row r="40" spans="1:15" x14ac:dyDescent="0.35">
      <c r="A40" s="74"/>
      <c r="B40" s="74"/>
      <c r="C40" s="98"/>
      <c r="D40" s="43" t="s">
        <v>121</v>
      </c>
      <c r="E40" s="12" t="s">
        <v>4</v>
      </c>
      <c r="F40" s="13">
        <v>130</v>
      </c>
      <c r="G40" s="13">
        <v>47</v>
      </c>
      <c r="H40" s="13">
        <v>8</v>
      </c>
      <c r="I40" s="13">
        <v>4</v>
      </c>
      <c r="J40" s="15"/>
    </row>
    <row r="41" spans="1:15" x14ac:dyDescent="0.35">
      <c r="A41" s="74"/>
      <c r="B41" s="74"/>
      <c r="C41" s="98"/>
      <c r="D41" s="43" t="s">
        <v>121</v>
      </c>
      <c r="E41" s="12" t="s">
        <v>5</v>
      </c>
      <c r="F41" s="13">
        <v>112</v>
      </c>
      <c r="G41" s="13">
        <v>28</v>
      </c>
      <c r="H41" s="13">
        <v>1</v>
      </c>
      <c r="I41" s="13">
        <v>1</v>
      </c>
      <c r="J41" s="15"/>
    </row>
    <row r="42" spans="1:15" x14ac:dyDescent="0.35">
      <c r="A42" s="74"/>
      <c r="B42" s="74"/>
      <c r="C42" s="98"/>
      <c r="D42" s="43" t="s">
        <v>121</v>
      </c>
      <c r="E42" s="12" t="s">
        <v>6</v>
      </c>
      <c r="F42" s="13">
        <v>158</v>
      </c>
      <c r="G42" s="13">
        <v>30</v>
      </c>
      <c r="H42" s="15"/>
      <c r="I42" s="13">
        <v>3</v>
      </c>
      <c r="J42" s="15"/>
    </row>
    <row r="43" spans="1:15" x14ac:dyDescent="0.35">
      <c r="A43" s="74"/>
      <c r="B43" s="74"/>
      <c r="C43" s="98"/>
      <c r="D43" s="43" t="s">
        <v>121</v>
      </c>
      <c r="E43" s="12" t="s">
        <v>7</v>
      </c>
      <c r="F43" s="13">
        <v>130</v>
      </c>
      <c r="G43" s="13">
        <v>43</v>
      </c>
      <c r="H43" s="13">
        <v>4</v>
      </c>
      <c r="I43" s="13">
        <v>12</v>
      </c>
      <c r="J43" s="15"/>
      <c r="K43" s="2">
        <f>SUM(F37:F43)</f>
        <v>966</v>
      </c>
      <c r="L43" s="2">
        <f t="shared" ref="L43:O43" si="6">SUM(G37:G43)</f>
        <v>254</v>
      </c>
      <c r="M43" s="2">
        <f t="shared" si="6"/>
        <v>18</v>
      </c>
      <c r="N43" s="2">
        <f t="shared" si="6"/>
        <v>42</v>
      </c>
      <c r="O43" s="2">
        <f t="shared" si="6"/>
        <v>0</v>
      </c>
    </row>
    <row r="44" spans="1:15" x14ac:dyDescent="0.35">
      <c r="A44" s="9" t="s">
        <v>551</v>
      </c>
      <c r="B44" s="9" t="s">
        <v>552</v>
      </c>
      <c r="C44" s="97">
        <v>3155</v>
      </c>
      <c r="D44" s="43" t="s">
        <v>122</v>
      </c>
      <c r="E44" s="12" t="s">
        <v>17</v>
      </c>
      <c r="F44" s="12">
        <v>152</v>
      </c>
      <c r="G44" s="12">
        <v>82</v>
      </c>
      <c r="H44" s="12">
        <v>11</v>
      </c>
      <c r="I44" s="12">
        <v>11</v>
      </c>
      <c r="J44" s="14"/>
    </row>
    <row r="45" spans="1:15" x14ac:dyDescent="0.35">
      <c r="A45" s="80"/>
      <c r="B45" s="80"/>
      <c r="C45" s="100"/>
      <c r="D45" s="43" t="s">
        <v>122</v>
      </c>
      <c r="E45" s="12" t="s">
        <v>2</v>
      </c>
      <c r="F45" s="12">
        <v>156</v>
      </c>
      <c r="G45" s="12">
        <v>70</v>
      </c>
      <c r="H45" s="12">
        <v>5</v>
      </c>
      <c r="I45" s="12">
        <v>8</v>
      </c>
      <c r="J45" s="12">
        <v>1</v>
      </c>
    </row>
    <row r="46" spans="1:15" x14ac:dyDescent="0.35">
      <c r="A46" s="80"/>
      <c r="B46" s="80"/>
      <c r="C46" s="100"/>
      <c r="D46" s="43" t="s">
        <v>122</v>
      </c>
      <c r="E46" s="12" t="s">
        <v>3</v>
      </c>
      <c r="F46" s="12">
        <v>103</v>
      </c>
      <c r="G46" s="12">
        <v>24</v>
      </c>
      <c r="H46" s="12">
        <v>4</v>
      </c>
      <c r="I46" s="12">
        <v>4</v>
      </c>
      <c r="J46" s="14"/>
    </row>
    <row r="47" spans="1:15" x14ac:dyDescent="0.35">
      <c r="A47" s="80"/>
      <c r="B47" s="80"/>
      <c r="C47" s="100"/>
      <c r="D47" s="43" t="s">
        <v>122</v>
      </c>
      <c r="E47" s="12" t="s">
        <v>4</v>
      </c>
      <c r="F47" s="12">
        <v>49</v>
      </c>
      <c r="G47" s="12">
        <v>34</v>
      </c>
      <c r="H47" s="12">
        <v>3</v>
      </c>
      <c r="I47" s="12">
        <v>4</v>
      </c>
      <c r="J47" s="14"/>
    </row>
    <row r="48" spans="1:15" x14ac:dyDescent="0.35">
      <c r="A48" s="80"/>
      <c r="B48" s="80"/>
      <c r="C48" s="100"/>
      <c r="D48" s="43" t="s">
        <v>122</v>
      </c>
      <c r="E48" s="12" t="s">
        <v>5</v>
      </c>
      <c r="F48" s="12">
        <v>139</v>
      </c>
      <c r="G48" s="12">
        <v>81</v>
      </c>
      <c r="H48" s="12">
        <v>6</v>
      </c>
      <c r="I48" s="12">
        <v>11</v>
      </c>
      <c r="J48" s="14"/>
    </row>
    <row r="49" spans="1:15" x14ac:dyDescent="0.35">
      <c r="A49" s="9" t="s">
        <v>563</v>
      </c>
      <c r="B49" s="9" t="s">
        <v>564</v>
      </c>
      <c r="C49" s="97">
        <v>1119</v>
      </c>
      <c r="D49" s="43" t="s">
        <v>123</v>
      </c>
      <c r="E49" s="12" t="s">
        <v>17</v>
      </c>
      <c r="F49" s="13">
        <v>81</v>
      </c>
      <c r="G49" s="13">
        <v>15</v>
      </c>
      <c r="H49" s="13">
        <v>5</v>
      </c>
      <c r="I49" s="13">
        <v>2</v>
      </c>
      <c r="J49" s="15"/>
    </row>
    <row r="50" spans="1:15" x14ac:dyDescent="0.35">
      <c r="A50" s="74"/>
      <c r="B50" s="74"/>
      <c r="C50" s="98"/>
      <c r="D50" s="43" t="s">
        <v>123</v>
      </c>
      <c r="E50" s="12" t="s">
        <v>2</v>
      </c>
      <c r="F50" s="13">
        <v>181</v>
      </c>
      <c r="G50" s="13">
        <v>56</v>
      </c>
      <c r="H50" s="13">
        <v>3</v>
      </c>
      <c r="I50" s="13">
        <v>7</v>
      </c>
      <c r="J50" s="15"/>
    </row>
    <row r="51" spans="1:15" x14ac:dyDescent="0.35">
      <c r="A51" s="74"/>
      <c r="B51" s="74"/>
      <c r="C51" s="98"/>
      <c r="D51" s="43" t="s">
        <v>123</v>
      </c>
      <c r="E51" s="12" t="s">
        <v>3</v>
      </c>
      <c r="F51" s="13">
        <v>62</v>
      </c>
      <c r="G51" s="13">
        <v>19</v>
      </c>
      <c r="H51" s="13">
        <v>3</v>
      </c>
      <c r="I51" s="13">
        <v>4</v>
      </c>
      <c r="J51" s="15"/>
    </row>
    <row r="52" spans="1:15" x14ac:dyDescent="0.35">
      <c r="A52" s="74"/>
      <c r="B52" s="74"/>
      <c r="C52" s="98"/>
      <c r="D52" s="43" t="s">
        <v>123</v>
      </c>
      <c r="E52" s="12" t="s">
        <v>4</v>
      </c>
      <c r="F52" s="13">
        <v>100</v>
      </c>
      <c r="G52" s="13">
        <v>38</v>
      </c>
      <c r="H52" s="13">
        <v>2</v>
      </c>
      <c r="I52" s="13">
        <v>5</v>
      </c>
      <c r="J52" s="15"/>
      <c r="K52" s="2">
        <f>SUM(F49:F52)</f>
        <v>424</v>
      </c>
      <c r="L52" s="2">
        <f t="shared" ref="L52:O52" si="7">SUM(G49:G52)</f>
        <v>128</v>
      </c>
      <c r="M52" s="2">
        <f t="shared" si="7"/>
        <v>13</v>
      </c>
      <c r="N52" s="2">
        <f t="shared" si="7"/>
        <v>18</v>
      </c>
      <c r="O52" s="2">
        <f t="shared" si="7"/>
        <v>0</v>
      </c>
    </row>
    <row r="53" spans="1:15" x14ac:dyDescent="0.35">
      <c r="A53" s="4" t="s">
        <v>565</v>
      </c>
      <c r="B53" s="4" t="s">
        <v>566</v>
      </c>
      <c r="C53" s="99">
        <v>1956</v>
      </c>
      <c r="D53" s="43" t="s">
        <v>124</v>
      </c>
      <c r="E53" s="12" t="s">
        <v>17</v>
      </c>
      <c r="F53" s="12">
        <v>126</v>
      </c>
      <c r="G53" s="12">
        <v>32</v>
      </c>
      <c r="H53" s="12">
        <v>3</v>
      </c>
      <c r="I53" s="12">
        <v>2</v>
      </c>
      <c r="J53" s="12">
        <v>1</v>
      </c>
    </row>
    <row r="54" spans="1:15" x14ac:dyDescent="0.35">
      <c r="A54" s="80"/>
      <c r="B54" s="80"/>
      <c r="C54" s="100"/>
      <c r="D54" s="43" t="s">
        <v>124</v>
      </c>
      <c r="E54" s="12" t="s">
        <v>2</v>
      </c>
      <c r="F54" s="12">
        <v>271</v>
      </c>
      <c r="G54" s="12">
        <v>76</v>
      </c>
      <c r="H54" s="14"/>
      <c r="I54" s="12">
        <v>9</v>
      </c>
      <c r="J54" s="14"/>
    </row>
    <row r="55" spans="1:15" x14ac:dyDescent="0.35">
      <c r="A55" s="80"/>
      <c r="B55" s="80"/>
      <c r="C55" s="100"/>
      <c r="D55" s="43" t="s">
        <v>124</v>
      </c>
      <c r="E55" s="12" t="s">
        <v>3</v>
      </c>
      <c r="F55" s="12">
        <v>152</v>
      </c>
      <c r="G55" s="12">
        <v>19</v>
      </c>
      <c r="H55" s="14"/>
      <c r="I55" s="12">
        <v>3</v>
      </c>
      <c r="J55" s="14"/>
    </row>
    <row r="56" spans="1:15" x14ac:dyDescent="0.35">
      <c r="A56" s="80"/>
      <c r="B56" s="80"/>
      <c r="C56" s="100"/>
      <c r="D56" s="43" t="s">
        <v>124</v>
      </c>
      <c r="E56" s="12" t="s">
        <v>4</v>
      </c>
      <c r="F56" s="12">
        <v>108</v>
      </c>
      <c r="G56" s="12">
        <v>48</v>
      </c>
      <c r="H56" s="12">
        <v>7</v>
      </c>
      <c r="I56" s="12">
        <v>7</v>
      </c>
      <c r="J56" s="14"/>
    </row>
    <row r="57" spans="1:15" x14ac:dyDescent="0.35">
      <c r="A57" s="80"/>
      <c r="B57" s="80"/>
      <c r="C57" s="100"/>
      <c r="D57" s="43" t="s">
        <v>124</v>
      </c>
      <c r="E57" s="12" t="s">
        <v>5</v>
      </c>
      <c r="F57" s="12">
        <v>102</v>
      </c>
      <c r="G57" s="12">
        <v>18</v>
      </c>
      <c r="H57" s="12">
        <v>3</v>
      </c>
      <c r="I57" s="12">
        <v>6</v>
      </c>
      <c r="J57" s="14"/>
      <c r="K57" s="2">
        <f>SUM(F53:F57)</f>
        <v>759</v>
      </c>
      <c r="L57" s="2">
        <f t="shared" ref="L57:O57" si="8">SUM(G53:G57)</f>
        <v>193</v>
      </c>
      <c r="M57" s="2">
        <f t="shared" si="8"/>
        <v>13</v>
      </c>
      <c r="N57" s="2">
        <f t="shared" si="8"/>
        <v>27</v>
      </c>
      <c r="O57" s="2">
        <f t="shared" si="8"/>
        <v>1</v>
      </c>
    </row>
    <row r="58" spans="1:15" x14ac:dyDescent="0.35">
      <c r="A58" s="9" t="s">
        <v>567</v>
      </c>
      <c r="B58" s="9" t="s">
        <v>372</v>
      </c>
      <c r="C58" s="97">
        <v>980</v>
      </c>
      <c r="D58" s="43" t="s">
        <v>76</v>
      </c>
      <c r="E58" s="12" t="s">
        <v>17</v>
      </c>
      <c r="F58" s="13">
        <v>173</v>
      </c>
      <c r="G58" s="13">
        <v>36</v>
      </c>
      <c r="H58" s="13">
        <v>2</v>
      </c>
      <c r="I58" s="13">
        <v>2</v>
      </c>
      <c r="J58" s="15"/>
    </row>
    <row r="59" spans="1:15" x14ac:dyDescent="0.35">
      <c r="A59" s="74"/>
      <c r="B59" s="74"/>
      <c r="C59" s="98"/>
      <c r="D59" s="43" t="s">
        <v>76</v>
      </c>
      <c r="E59" s="12" t="s">
        <v>2</v>
      </c>
      <c r="F59" s="13">
        <v>85</v>
      </c>
      <c r="G59" s="13">
        <v>4</v>
      </c>
      <c r="H59" s="13">
        <v>2</v>
      </c>
      <c r="I59" s="13">
        <v>2</v>
      </c>
      <c r="J59" s="15"/>
    </row>
    <row r="60" spans="1:15" x14ac:dyDescent="0.35">
      <c r="A60" s="74"/>
      <c r="B60" s="74"/>
      <c r="C60" s="98"/>
      <c r="D60" s="43" t="s">
        <v>76</v>
      </c>
      <c r="E60" s="12" t="s">
        <v>3</v>
      </c>
      <c r="F60" s="13">
        <v>72</v>
      </c>
      <c r="G60" s="13">
        <v>23</v>
      </c>
      <c r="H60" s="13">
        <v>2</v>
      </c>
      <c r="I60" s="13">
        <v>5</v>
      </c>
      <c r="J60" s="15"/>
    </row>
    <row r="61" spans="1:15" x14ac:dyDescent="0.35">
      <c r="A61" s="74"/>
      <c r="B61" s="74"/>
      <c r="C61" s="98"/>
      <c r="D61" s="43" t="s">
        <v>76</v>
      </c>
      <c r="E61" s="12" t="s">
        <v>4</v>
      </c>
      <c r="F61" s="13">
        <v>117</v>
      </c>
      <c r="G61" s="13">
        <v>14</v>
      </c>
      <c r="H61" s="13">
        <v>2</v>
      </c>
      <c r="I61" s="13">
        <v>2</v>
      </c>
      <c r="J61" s="15"/>
      <c r="K61" s="2">
        <f>SUM(F58:F61)</f>
        <v>447</v>
      </c>
      <c r="L61" s="2">
        <f t="shared" ref="L61:O61" si="9">SUM(G58:G61)</f>
        <v>77</v>
      </c>
      <c r="M61" s="2">
        <f t="shared" si="9"/>
        <v>8</v>
      </c>
      <c r="N61" s="2">
        <f t="shared" si="9"/>
        <v>11</v>
      </c>
      <c r="O61" s="2">
        <f t="shared" si="9"/>
        <v>0</v>
      </c>
    </row>
    <row r="62" spans="1:15" x14ac:dyDescent="0.35">
      <c r="A62" s="4" t="s">
        <v>568</v>
      </c>
      <c r="B62" s="4" t="s">
        <v>569</v>
      </c>
      <c r="C62" s="99">
        <v>1705</v>
      </c>
      <c r="D62" s="43" t="s">
        <v>125</v>
      </c>
      <c r="E62" s="12" t="s">
        <v>17</v>
      </c>
      <c r="F62" s="12">
        <v>152</v>
      </c>
      <c r="G62" s="12">
        <v>97</v>
      </c>
      <c r="H62" s="12">
        <v>1</v>
      </c>
      <c r="I62" s="12">
        <v>13</v>
      </c>
      <c r="J62" s="14"/>
    </row>
    <row r="63" spans="1:15" x14ac:dyDescent="0.35">
      <c r="A63" s="80"/>
      <c r="B63" s="80"/>
      <c r="C63" s="100"/>
      <c r="D63" s="43" t="s">
        <v>125</v>
      </c>
      <c r="E63" s="12" t="s">
        <v>2</v>
      </c>
      <c r="F63" s="12">
        <v>72</v>
      </c>
      <c r="G63" s="12">
        <v>27</v>
      </c>
      <c r="H63" s="12">
        <v>2</v>
      </c>
      <c r="I63" s="12">
        <v>1</v>
      </c>
      <c r="J63" s="14"/>
    </row>
    <row r="64" spans="1:15" x14ac:dyDescent="0.35">
      <c r="A64" s="80"/>
      <c r="B64" s="80"/>
      <c r="C64" s="100"/>
      <c r="D64" s="43" t="s">
        <v>125</v>
      </c>
      <c r="E64" s="12" t="s">
        <v>3</v>
      </c>
      <c r="F64" s="12">
        <v>107</v>
      </c>
      <c r="G64" s="12">
        <v>28</v>
      </c>
      <c r="H64" s="12">
        <v>5</v>
      </c>
      <c r="I64" s="12">
        <v>3</v>
      </c>
      <c r="J64" s="14"/>
    </row>
    <row r="65" spans="1:15" x14ac:dyDescent="0.35">
      <c r="A65" s="80"/>
      <c r="B65" s="80"/>
      <c r="C65" s="100"/>
      <c r="D65" s="43" t="s">
        <v>125</v>
      </c>
      <c r="E65" s="12" t="s">
        <v>4</v>
      </c>
      <c r="F65" s="12">
        <v>155</v>
      </c>
      <c r="G65" s="12">
        <v>73</v>
      </c>
      <c r="H65" s="12">
        <v>12</v>
      </c>
      <c r="I65" s="12">
        <v>10</v>
      </c>
      <c r="J65" s="14"/>
    </row>
    <row r="66" spans="1:15" x14ac:dyDescent="0.35">
      <c r="A66" s="80"/>
      <c r="B66" s="80"/>
      <c r="C66" s="100"/>
      <c r="D66" s="43" t="s">
        <v>125</v>
      </c>
      <c r="E66" s="12" t="s">
        <v>5</v>
      </c>
      <c r="F66" s="12">
        <v>234</v>
      </c>
      <c r="G66" s="12">
        <v>179</v>
      </c>
      <c r="H66" s="12">
        <v>18</v>
      </c>
      <c r="I66" s="12">
        <v>17</v>
      </c>
      <c r="J66" s="12">
        <v>1</v>
      </c>
      <c r="K66" s="2">
        <f>SUM(F62:F66)</f>
        <v>720</v>
      </c>
      <c r="L66" s="2">
        <f t="shared" ref="L66:O66" si="10">SUM(G62:G66)</f>
        <v>404</v>
      </c>
      <c r="M66" s="2">
        <f t="shared" si="10"/>
        <v>38</v>
      </c>
      <c r="N66" s="2">
        <f t="shared" si="10"/>
        <v>44</v>
      </c>
      <c r="O66" s="2">
        <f t="shared" si="10"/>
        <v>1</v>
      </c>
    </row>
    <row r="67" spans="1:15" x14ac:dyDescent="0.35">
      <c r="A67" s="9" t="s">
        <v>570</v>
      </c>
      <c r="B67" s="9" t="s">
        <v>571</v>
      </c>
      <c r="C67" s="97">
        <v>1322</v>
      </c>
      <c r="D67" s="43" t="s">
        <v>126</v>
      </c>
      <c r="E67" s="12" t="s">
        <v>17</v>
      </c>
      <c r="F67" s="13">
        <v>43</v>
      </c>
      <c r="G67" s="13">
        <v>20</v>
      </c>
      <c r="H67" s="15"/>
      <c r="I67" s="13">
        <v>5</v>
      </c>
      <c r="J67" s="15"/>
    </row>
    <row r="68" spans="1:15" x14ac:dyDescent="0.35">
      <c r="A68" s="74"/>
      <c r="B68" s="74"/>
      <c r="C68" s="98"/>
      <c r="D68" s="43" t="s">
        <v>126</v>
      </c>
      <c r="E68" s="12" t="s">
        <v>2</v>
      </c>
      <c r="F68" s="13">
        <v>139</v>
      </c>
      <c r="G68" s="13">
        <v>14</v>
      </c>
      <c r="H68" s="13">
        <v>2</v>
      </c>
      <c r="I68" s="13">
        <v>6</v>
      </c>
      <c r="J68" s="15"/>
    </row>
    <row r="69" spans="1:15" x14ac:dyDescent="0.35">
      <c r="A69" s="74"/>
      <c r="B69" s="74"/>
      <c r="C69" s="98"/>
      <c r="D69" s="43" t="s">
        <v>126</v>
      </c>
      <c r="E69" s="12" t="s">
        <v>3</v>
      </c>
      <c r="F69" s="13">
        <v>123</v>
      </c>
      <c r="G69" s="13">
        <v>62</v>
      </c>
      <c r="H69" s="13">
        <v>6</v>
      </c>
      <c r="I69" s="13">
        <v>3</v>
      </c>
      <c r="J69" s="13">
        <v>1</v>
      </c>
    </row>
    <row r="70" spans="1:15" x14ac:dyDescent="0.35">
      <c r="A70" s="74"/>
      <c r="B70" s="74"/>
      <c r="C70" s="98"/>
      <c r="D70" s="43" t="s">
        <v>126</v>
      </c>
      <c r="E70" s="12" t="s">
        <v>4</v>
      </c>
      <c r="F70" s="13">
        <v>136</v>
      </c>
      <c r="G70" s="13">
        <v>30</v>
      </c>
      <c r="H70" s="13">
        <v>2</v>
      </c>
      <c r="I70" s="13">
        <v>2</v>
      </c>
      <c r="J70" s="15"/>
    </row>
    <row r="71" spans="1:15" x14ac:dyDescent="0.35">
      <c r="A71" s="74"/>
      <c r="B71" s="74"/>
      <c r="C71" s="98"/>
      <c r="D71" s="43" t="s">
        <v>126</v>
      </c>
      <c r="E71" s="12" t="s">
        <v>5</v>
      </c>
      <c r="F71" s="13">
        <v>112</v>
      </c>
      <c r="G71" s="13">
        <v>14</v>
      </c>
      <c r="H71" s="13">
        <v>1</v>
      </c>
      <c r="I71" s="13">
        <v>3</v>
      </c>
      <c r="J71" s="15"/>
      <c r="K71" s="2">
        <f>SUM(F67:F71)</f>
        <v>553</v>
      </c>
      <c r="L71" s="2">
        <f t="shared" ref="L71:O71" si="11">SUM(G67:G71)</f>
        <v>140</v>
      </c>
      <c r="M71" s="2">
        <f t="shared" si="11"/>
        <v>11</v>
      </c>
      <c r="N71" s="2">
        <f t="shared" si="11"/>
        <v>19</v>
      </c>
      <c r="O71" s="2">
        <f t="shared" si="11"/>
        <v>1</v>
      </c>
    </row>
    <row r="72" spans="1:15" x14ac:dyDescent="0.35">
      <c r="A72" s="4" t="s">
        <v>328</v>
      </c>
      <c r="B72" s="4" t="s">
        <v>329</v>
      </c>
      <c r="C72" s="99">
        <v>2251</v>
      </c>
      <c r="D72" s="43" t="s">
        <v>127</v>
      </c>
      <c r="E72" s="12" t="s">
        <v>17</v>
      </c>
      <c r="F72" s="12">
        <v>37</v>
      </c>
      <c r="G72" s="12">
        <v>11</v>
      </c>
      <c r="H72" s="14"/>
      <c r="I72" s="12">
        <v>2</v>
      </c>
      <c r="J72" s="14"/>
    </row>
    <row r="73" spans="1:15" x14ac:dyDescent="0.35">
      <c r="A73" s="80"/>
      <c r="B73" s="80"/>
      <c r="C73" s="100"/>
      <c r="D73" s="43" t="s">
        <v>127</v>
      </c>
      <c r="E73" s="12" t="s">
        <v>2</v>
      </c>
      <c r="F73" s="12">
        <v>71</v>
      </c>
      <c r="G73" s="12">
        <v>12</v>
      </c>
      <c r="H73" s="12">
        <v>1</v>
      </c>
      <c r="I73" s="12">
        <v>2</v>
      </c>
      <c r="J73" s="14"/>
    </row>
    <row r="74" spans="1:15" x14ac:dyDescent="0.35">
      <c r="A74" s="80"/>
      <c r="B74" s="80"/>
      <c r="C74" s="100"/>
      <c r="D74" s="43" t="s">
        <v>127</v>
      </c>
      <c r="E74" s="12" t="s">
        <v>3</v>
      </c>
      <c r="F74" s="12">
        <v>114</v>
      </c>
      <c r="G74" s="12">
        <v>38</v>
      </c>
      <c r="H74" s="12">
        <v>3</v>
      </c>
      <c r="I74" s="12">
        <v>1</v>
      </c>
      <c r="J74" s="14"/>
    </row>
    <row r="75" spans="1:15" x14ac:dyDescent="0.35">
      <c r="A75" s="80"/>
      <c r="B75" s="80"/>
      <c r="C75" s="100"/>
      <c r="D75" s="43" t="s">
        <v>127</v>
      </c>
      <c r="E75" s="12" t="s">
        <v>4</v>
      </c>
      <c r="F75" s="12">
        <v>87</v>
      </c>
      <c r="G75" s="12">
        <v>21</v>
      </c>
      <c r="H75" s="12">
        <v>3</v>
      </c>
      <c r="I75" s="12">
        <v>3</v>
      </c>
      <c r="J75" s="14"/>
    </row>
    <row r="76" spans="1:15" x14ac:dyDescent="0.35">
      <c r="A76" s="80"/>
      <c r="B76" s="80"/>
      <c r="C76" s="100"/>
      <c r="D76" s="43" t="s">
        <v>127</v>
      </c>
      <c r="E76" s="12" t="s">
        <v>5</v>
      </c>
      <c r="F76" s="12">
        <v>125</v>
      </c>
      <c r="G76" s="12">
        <v>32</v>
      </c>
      <c r="H76" s="12">
        <v>8</v>
      </c>
      <c r="I76" s="12">
        <v>4</v>
      </c>
      <c r="J76" s="14"/>
    </row>
    <row r="77" spans="1:15" x14ac:dyDescent="0.35">
      <c r="A77" s="80"/>
      <c r="B77" s="80"/>
      <c r="C77" s="100"/>
      <c r="D77" s="43" t="s">
        <v>127</v>
      </c>
      <c r="E77" s="12" t="s">
        <v>6</v>
      </c>
      <c r="F77" s="12">
        <v>70</v>
      </c>
      <c r="G77" s="12">
        <v>25</v>
      </c>
      <c r="H77" s="12">
        <v>3</v>
      </c>
      <c r="I77" s="12">
        <v>4</v>
      </c>
      <c r="J77" s="14"/>
    </row>
    <row r="78" spans="1:15" x14ac:dyDescent="0.35">
      <c r="A78" s="80"/>
      <c r="B78" s="80"/>
      <c r="C78" s="100"/>
      <c r="D78" s="43" t="s">
        <v>127</v>
      </c>
      <c r="E78" s="12" t="s">
        <v>7</v>
      </c>
      <c r="F78" s="12">
        <v>176</v>
      </c>
      <c r="G78" s="12">
        <v>32</v>
      </c>
      <c r="H78" s="12">
        <v>3</v>
      </c>
      <c r="I78" s="12">
        <v>9</v>
      </c>
      <c r="J78" s="14"/>
    </row>
    <row r="79" spans="1:15" x14ac:dyDescent="0.35">
      <c r="A79" s="80"/>
      <c r="B79" s="80"/>
      <c r="C79" s="100"/>
      <c r="D79" s="43" t="s">
        <v>127</v>
      </c>
      <c r="E79" s="12" t="s">
        <v>8</v>
      </c>
      <c r="F79" s="12">
        <v>160</v>
      </c>
      <c r="G79" s="12">
        <v>63</v>
      </c>
      <c r="H79" s="12">
        <v>4</v>
      </c>
      <c r="I79" s="12">
        <v>10</v>
      </c>
      <c r="J79" s="14"/>
      <c r="K79" s="2">
        <f>SUM(F72:F79)</f>
        <v>840</v>
      </c>
      <c r="L79" s="2">
        <f t="shared" ref="L79:O79" si="12">SUM(G72:G79)</f>
        <v>234</v>
      </c>
      <c r="M79" s="2">
        <f t="shared" si="12"/>
        <v>25</v>
      </c>
      <c r="N79" s="2">
        <f t="shared" si="12"/>
        <v>35</v>
      </c>
      <c r="O79" s="2">
        <f t="shared" si="12"/>
        <v>0</v>
      </c>
    </row>
    <row r="80" spans="1:15" x14ac:dyDescent="0.35">
      <c r="A80" s="9" t="s">
        <v>330</v>
      </c>
      <c r="B80" s="9" t="s">
        <v>331</v>
      </c>
      <c r="C80" s="97">
        <v>1539</v>
      </c>
      <c r="D80" s="43" t="s">
        <v>128</v>
      </c>
      <c r="E80" s="12" t="s">
        <v>17</v>
      </c>
      <c r="F80" s="13">
        <v>57</v>
      </c>
      <c r="G80" s="13">
        <v>14</v>
      </c>
      <c r="H80" s="13">
        <v>3</v>
      </c>
      <c r="I80" s="13">
        <v>3</v>
      </c>
      <c r="J80" s="15"/>
    </row>
    <row r="81" spans="1:15" x14ac:dyDescent="0.35">
      <c r="A81" s="74"/>
      <c r="B81" s="74"/>
      <c r="C81" s="98"/>
      <c r="D81" s="43" t="s">
        <v>128</v>
      </c>
      <c r="E81" s="12" t="s">
        <v>2</v>
      </c>
      <c r="F81" s="13">
        <v>16</v>
      </c>
      <c r="G81" s="13">
        <v>8</v>
      </c>
      <c r="H81" s="15"/>
      <c r="I81" s="13">
        <v>2</v>
      </c>
      <c r="J81" s="15"/>
    </row>
    <row r="82" spans="1:15" x14ac:dyDescent="0.35">
      <c r="A82" s="74"/>
      <c r="B82" s="74"/>
      <c r="C82" s="98"/>
      <c r="D82" s="43" t="s">
        <v>128</v>
      </c>
      <c r="E82" s="12" t="s">
        <v>3</v>
      </c>
      <c r="F82" s="13">
        <v>41</v>
      </c>
      <c r="G82" s="13">
        <v>17</v>
      </c>
      <c r="H82" s="13">
        <v>1</v>
      </c>
      <c r="I82" s="13">
        <v>1</v>
      </c>
      <c r="J82" s="15"/>
    </row>
    <row r="83" spans="1:15" x14ac:dyDescent="0.35">
      <c r="A83" s="74"/>
      <c r="B83" s="74"/>
      <c r="C83" s="98"/>
      <c r="D83" s="43" t="s">
        <v>128</v>
      </c>
      <c r="E83" s="12" t="s">
        <v>4</v>
      </c>
      <c r="F83" s="13">
        <v>73</v>
      </c>
      <c r="G83" s="13">
        <v>30</v>
      </c>
      <c r="H83" s="13">
        <v>7</v>
      </c>
      <c r="I83" s="13">
        <v>12</v>
      </c>
      <c r="J83" s="13">
        <v>1</v>
      </c>
    </row>
    <row r="84" spans="1:15" x14ac:dyDescent="0.35">
      <c r="A84" s="74"/>
      <c r="B84" s="74"/>
      <c r="C84" s="98"/>
      <c r="D84" s="43" t="s">
        <v>128</v>
      </c>
      <c r="E84" s="12" t="s">
        <v>5</v>
      </c>
      <c r="F84" s="13">
        <v>181</v>
      </c>
      <c r="G84" s="13">
        <v>14</v>
      </c>
      <c r="H84" s="13">
        <v>4</v>
      </c>
      <c r="I84" s="13">
        <v>3</v>
      </c>
      <c r="J84" s="15"/>
    </row>
    <row r="85" spans="1:15" x14ac:dyDescent="0.35">
      <c r="A85" s="74"/>
      <c r="B85" s="74"/>
      <c r="C85" s="98"/>
      <c r="D85" s="43" t="s">
        <v>128</v>
      </c>
      <c r="E85" s="12" t="s">
        <v>6</v>
      </c>
      <c r="F85" s="13">
        <v>63</v>
      </c>
      <c r="G85" s="13">
        <v>11</v>
      </c>
      <c r="H85" s="13">
        <v>1</v>
      </c>
      <c r="I85" s="13">
        <v>5</v>
      </c>
      <c r="J85" s="15"/>
    </row>
    <row r="86" spans="1:15" x14ac:dyDescent="0.35">
      <c r="A86" s="74"/>
      <c r="B86" s="74"/>
      <c r="C86" s="98"/>
      <c r="D86" s="43" t="s">
        <v>128</v>
      </c>
      <c r="E86" s="12" t="s">
        <v>7</v>
      </c>
      <c r="F86" s="13">
        <v>50</v>
      </c>
      <c r="G86" s="13">
        <v>28</v>
      </c>
      <c r="H86" s="13">
        <v>8</v>
      </c>
      <c r="I86" s="13">
        <v>4</v>
      </c>
      <c r="J86" s="15"/>
    </row>
    <row r="87" spans="1:15" x14ac:dyDescent="0.35">
      <c r="A87" s="74"/>
      <c r="B87" s="74"/>
      <c r="C87" s="98"/>
      <c r="D87" s="43" t="s">
        <v>128</v>
      </c>
      <c r="E87" s="12" t="s">
        <v>8</v>
      </c>
      <c r="F87" s="13">
        <v>135</v>
      </c>
      <c r="G87" s="13">
        <v>35</v>
      </c>
      <c r="H87" s="13">
        <v>2</v>
      </c>
      <c r="I87" s="13">
        <v>7</v>
      </c>
      <c r="J87" s="15"/>
    </row>
    <row r="88" spans="1:15" x14ac:dyDescent="0.35">
      <c r="A88" s="74"/>
      <c r="B88" s="74"/>
      <c r="C88" s="98"/>
      <c r="D88" s="43" t="s">
        <v>128</v>
      </c>
      <c r="E88" s="12" t="s">
        <v>9</v>
      </c>
      <c r="F88" s="13">
        <v>78</v>
      </c>
      <c r="G88" s="13">
        <v>33</v>
      </c>
      <c r="H88" s="13">
        <v>3</v>
      </c>
      <c r="I88" s="13">
        <v>4</v>
      </c>
      <c r="J88" s="15"/>
    </row>
    <row r="89" spans="1:15" x14ac:dyDescent="0.35">
      <c r="A89" s="74"/>
      <c r="B89" s="74"/>
      <c r="C89" s="98"/>
      <c r="D89" s="43" t="s">
        <v>128</v>
      </c>
      <c r="E89" s="12" t="s">
        <v>11</v>
      </c>
      <c r="F89" s="13">
        <v>38</v>
      </c>
      <c r="G89" s="13">
        <v>17</v>
      </c>
      <c r="H89" s="13">
        <v>1</v>
      </c>
      <c r="I89" s="13">
        <v>1</v>
      </c>
      <c r="J89" s="15"/>
    </row>
    <row r="90" spans="1:15" x14ac:dyDescent="0.35">
      <c r="A90" s="74"/>
      <c r="B90" s="74"/>
      <c r="C90" s="98"/>
      <c r="D90" s="43" t="s">
        <v>128</v>
      </c>
      <c r="E90" s="12" t="s">
        <v>12</v>
      </c>
      <c r="F90" s="13">
        <v>9</v>
      </c>
      <c r="G90" s="13">
        <v>12</v>
      </c>
      <c r="H90" s="13">
        <v>3</v>
      </c>
      <c r="I90" s="13">
        <v>2</v>
      </c>
      <c r="J90" s="15"/>
    </row>
    <row r="91" spans="1:15" x14ac:dyDescent="0.35">
      <c r="A91" s="74"/>
      <c r="B91" s="74"/>
      <c r="C91" s="98"/>
      <c r="D91" s="43" t="s">
        <v>128</v>
      </c>
      <c r="E91" s="12" t="s">
        <v>13</v>
      </c>
      <c r="F91" s="13">
        <v>42</v>
      </c>
      <c r="G91" s="13">
        <v>30</v>
      </c>
      <c r="H91" s="13">
        <v>5</v>
      </c>
      <c r="I91" s="13">
        <v>5</v>
      </c>
      <c r="J91" s="15"/>
      <c r="K91" s="2">
        <f>SUM(F80:F91)</f>
        <v>783</v>
      </c>
      <c r="L91" s="2">
        <f t="shared" ref="L91:O91" si="13">SUM(G80:G91)</f>
        <v>249</v>
      </c>
      <c r="M91" s="2">
        <f t="shared" si="13"/>
        <v>38</v>
      </c>
      <c r="N91" s="2">
        <f t="shared" si="13"/>
        <v>49</v>
      </c>
      <c r="O91" s="2">
        <f t="shared" si="13"/>
        <v>1</v>
      </c>
    </row>
    <row r="92" spans="1:15" x14ac:dyDescent="0.35">
      <c r="A92" s="4" t="s">
        <v>572</v>
      </c>
      <c r="B92" s="4" t="s">
        <v>573</v>
      </c>
      <c r="C92" s="99">
        <v>579</v>
      </c>
      <c r="D92" s="43" t="s">
        <v>129</v>
      </c>
      <c r="E92" s="12" t="s">
        <v>17</v>
      </c>
      <c r="F92" s="12">
        <v>95</v>
      </c>
      <c r="G92" s="12">
        <v>24</v>
      </c>
      <c r="H92" s="14"/>
      <c r="I92" s="12">
        <v>2</v>
      </c>
      <c r="J92" s="14"/>
    </row>
    <row r="93" spans="1:15" x14ac:dyDescent="0.35">
      <c r="A93" s="80"/>
      <c r="B93" s="80"/>
      <c r="C93" s="100"/>
      <c r="D93" s="43" t="s">
        <v>129</v>
      </c>
      <c r="E93" s="12" t="s">
        <v>2</v>
      </c>
      <c r="F93" s="12">
        <v>82</v>
      </c>
      <c r="G93" s="12">
        <v>15</v>
      </c>
      <c r="H93" s="12">
        <v>2</v>
      </c>
      <c r="I93" s="12">
        <v>7</v>
      </c>
      <c r="J93" s="14"/>
    </row>
    <row r="94" spans="1:15" x14ac:dyDescent="0.35">
      <c r="A94" s="80"/>
      <c r="B94" s="80"/>
      <c r="C94" s="100"/>
      <c r="D94" s="43" t="s">
        <v>129</v>
      </c>
      <c r="E94" s="12" t="s">
        <v>3</v>
      </c>
      <c r="F94" s="12">
        <v>84</v>
      </c>
      <c r="G94" s="12">
        <v>22</v>
      </c>
      <c r="H94" s="14"/>
      <c r="I94" s="12">
        <v>4</v>
      </c>
      <c r="J94" s="14"/>
      <c r="K94" s="2">
        <f>SUM(F92:F94)</f>
        <v>261</v>
      </c>
      <c r="L94" s="2">
        <f t="shared" ref="L94:O94" si="14">SUM(G92:G94)</f>
        <v>61</v>
      </c>
      <c r="M94" s="2">
        <f t="shared" si="14"/>
        <v>2</v>
      </c>
      <c r="N94" s="2">
        <f t="shared" si="14"/>
        <v>13</v>
      </c>
      <c r="O94" s="2">
        <f t="shared" si="14"/>
        <v>0</v>
      </c>
    </row>
    <row r="95" spans="1:15" x14ac:dyDescent="0.35">
      <c r="A95" s="9" t="s">
        <v>574</v>
      </c>
      <c r="B95" s="9" t="s">
        <v>575</v>
      </c>
      <c r="C95" s="97">
        <v>1292</v>
      </c>
      <c r="D95" s="43" t="s">
        <v>130</v>
      </c>
      <c r="E95" s="12" t="s">
        <v>17</v>
      </c>
      <c r="F95" s="13">
        <v>101</v>
      </c>
      <c r="G95" s="13">
        <v>45</v>
      </c>
      <c r="H95" s="15"/>
      <c r="I95" s="13">
        <v>5</v>
      </c>
      <c r="J95" s="15"/>
    </row>
    <row r="96" spans="1:15" x14ac:dyDescent="0.35">
      <c r="A96" s="74"/>
      <c r="B96" s="74"/>
      <c r="C96" s="98"/>
      <c r="D96" s="43" t="s">
        <v>130</v>
      </c>
      <c r="E96" s="12" t="s">
        <v>2</v>
      </c>
      <c r="F96" s="13">
        <v>83</v>
      </c>
      <c r="G96" s="13">
        <v>37</v>
      </c>
      <c r="H96" s="13">
        <v>3</v>
      </c>
      <c r="I96" s="13">
        <v>4</v>
      </c>
      <c r="J96" s="15"/>
    </row>
    <row r="97" spans="1:15" x14ac:dyDescent="0.35">
      <c r="A97" s="74"/>
      <c r="B97" s="74"/>
      <c r="C97" s="98"/>
      <c r="D97" s="43" t="s">
        <v>130</v>
      </c>
      <c r="E97" s="12" t="s">
        <v>3</v>
      </c>
      <c r="F97" s="13">
        <v>159</v>
      </c>
      <c r="G97" s="13">
        <v>26</v>
      </c>
      <c r="H97" s="13">
        <v>8</v>
      </c>
      <c r="I97" s="13">
        <v>6</v>
      </c>
      <c r="J97" s="15"/>
    </row>
    <row r="98" spans="1:15" x14ac:dyDescent="0.35">
      <c r="A98" s="74"/>
      <c r="B98" s="74"/>
      <c r="C98" s="98"/>
      <c r="D98" s="43" t="s">
        <v>130</v>
      </c>
      <c r="E98" s="12" t="s">
        <v>4</v>
      </c>
      <c r="F98" s="13">
        <v>199</v>
      </c>
      <c r="G98" s="13">
        <v>20</v>
      </c>
      <c r="H98" s="13">
        <v>3</v>
      </c>
      <c r="I98" s="13">
        <v>4</v>
      </c>
      <c r="J98" s="15"/>
    </row>
    <row r="99" spans="1:15" x14ac:dyDescent="0.35">
      <c r="A99" s="74"/>
      <c r="B99" s="74"/>
      <c r="C99" s="98"/>
      <c r="D99" s="43" t="s">
        <v>130</v>
      </c>
      <c r="E99" s="12" t="s">
        <v>5</v>
      </c>
      <c r="F99" s="13">
        <v>63</v>
      </c>
      <c r="G99" s="13">
        <v>15</v>
      </c>
      <c r="H99" s="13">
        <v>3</v>
      </c>
      <c r="I99" s="13">
        <v>1</v>
      </c>
      <c r="J99" s="15"/>
      <c r="K99" s="2">
        <f>SUM(F95:F99)</f>
        <v>605</v>
      </c>
      <c r="L99" s="2">
        <f t="shared" ref="L99:O99" si="15">SUM(G95:G99)</f>
        <v>143</v>
      </c>
      <c r="M99" s="2">
        <f t="shared" si="15"/>
        <v>17</v>
      </c>
      <c r="N99" s="2">
        <f t="shared" si="15"/>
        <v>20</v>
      </c>
      <c r="O99" s="2">
        <f t="shared" si="15"/>
        <v>0</v>
      </c>
    </row>
    <row r="100" spans="1:15" x14ac:dyDescent="0.35">
      <c r="A100" s="81"/>
      <c r="B100" s="81" t="s">
        <v>723</v>
      </c>
      <c r="C100" s="106">
        <f>SUM(C5:C95)</f>
        <v>26833</v>
      </c>
      <c r="D100" s="308" t="s">
        <v>231</v>
      </c>
      <c r="E100" s="309"/>
      <c r="F100" s="20">
        <f>SUM(F5:F99)</f>
        <v>10606</v>
      </c>
      <c r="G100" s="20">
        <f>SUM(G5:G99)</f>
        <v>3354</v>
      </c>
      <c r="H100" s="20">
        <f>SUM(H5:H99)</f>
        <v>344</v>
      </c>
      <c r="I100" s="20">
        <f>SUM(I5:I99)</f>
        <v>479</v>
      </c>
      <c r="J100" s="20">
        <f>SUM(J5:J99)</f>
        <v>13</v>
      </c>
    </row>
    <row r="101" spans="1:15" x14ac:dyDescent="0.35">
      <c r="A101" s="306" t="s">
        <v>735</v>
      </c>
      <c r="B101" s="306"/>
      <c r="C101" s="106">
        <f>SUM(C100,F100,G100,H100,I100,J100)</f>
        <v>41629</v>
      </c>
    </row>
    <row r="103" spans="1:15" x14ac:dyDescent="0.35">
      <c r="C103" s="96"/>
      <c r="D103" s="1"/>
    </row>
  </sheetData>
  <mergeCells count="7">
    <mergeCell ref="A101:B101"/>
    <mergeCell ref="D100:E100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4"/>
  <sheetViews>
    <sheetView workbookViewId="0">
      <selection activeCell="K132" sqref="K132:O132"/>
    </sheetView>
  </sheetViews>
  <sheetFormatPr defaultRowHeight="12.75" x14ac:dyDescent="0.2"/>
  <cols>
    <col min="2" max="2" width="17.85546875" customWidth="1"/>
    <col min="3" max="3" width="26.28515625" style="111" customWidth="1"/>
    <col min="4" max="4" width="13.140625" customWidth="1"/>
    <col min="5" max="5" width="9.140625" style="11"/>
    <col min="6" max="6" width="13" style="11" customWidth="1"/>
    <col min="7" max="7" width="10.140625" style="11" customWidth="1"/>
    <col min="8" max="8" width="12.42578125" style="11" customWidth="1"/>
    <col min="9" max="9" width="19.28515625" style="11" customWidth="1"/>
    <col min="10" max="10" width="14" style="11" customWidth="1"/>
  </cols>
  <sheetData>
    <row r="1" spans="1:15" ht="21" x14ac:dyDescent="0.35">
      <c r="A1" s="302" t="s">
        <v>736</v>
      </c>
      <c r="B1" s="302"/>
      <c r="C1" s="302"/>
      <c r="D1" s="298" t="s">
        <v>244</v>
      </c>
      <c r="E1" s="298"/>
      <c r="F1" s="298"/>
      <c r="G1" s="298"/>
      <c r="H1" s="298"/>
      <c r="I1" s="298"/>
      <c r="J1" s="298"/>
    </row>
    <row r="2" spans="1:15" ht="21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ht="21" x14ac:dyDescent="0.35">
      <c r="A3" s="91"/>
      <c r="B3" s="91"/>
      <c r="C3" s="110"/>
      <c r="D3" s="44"/>
      <c r="E3" s="44"/>
      <c r="F3" s="303" t="s">
        <v>718</v>
      </c>
      <c r="G3" s="303"/>
      <c r="H3" s="303"/>
      <c r="I3" s="303"/>
      <c r="J3" s="303"/>
    </row>
    <row r="4" spans="1:15" ht="24.75" customHeight="1" x14ac:dyDescent="0.35">
      <c r="A4" s="86" t="s">
        <v>716</v>
      </c>
      <c r="B4" s="86" t="s">
        <v>256</v>
      </c>
      <c r="C4" s="87" t="s">
        <v>717</v>
      </c>
      <c r="D4" s="46" t="s">
        <v>223</v>
      </c>
      <c r="E4" s="47" t="s">
        <v>222</v>
      </c>
      <c r="F4" s="47" t="s">
        <v>218</v>
      </c>
      <c r="G4" s="47" t="s">
        <v>219</v>
      </c>
      <c r="H4" s="47" t="s">
        <v>220</v>
      </c>
      <c r="I4" s="47" t="s">
        <v>240</v>
      </c>
      <c r="J4" s="47" t="s">
        <v>221</v>
      </c>
    </row>
    <row r="5" spans="1:15" ht="21" x14ac:dyDescent="0.35">
      <c r="A5" s="9" t="s">
        <v>578</v>
      </c>
      <c r="B5" s="9" t="s">
        <v>579</v>
      </c>
      <c r="C5" s="97">
        <v>2358</v>
      </c>
      <c r="D5" s="16" t="s">
        <v>131</v>
      </c>
      <c r="E5" s="17" t="s">
        <v>17</v>
      </c>
      <c r="F5" s="13">
        <v>43</v>
      </c>
      <c r="G5" s="48">
        <v>17</v>
      </c>
      <c r="H5" s="48">
        <v>1</v>
      </c>
      <c r="I5" s="48">
        <v>4</v>
      </c>
      <c r="J5" s="49"/>
    </row>
    <row r="6" spans="1:15" ht="21" x14ac:dyDescent="0.35">
      <c r="D6" s="16" t="s">
        <v>131</v>
      </c>
      <c r="E6" s="17" t="s">
        <v>2</v>
      </c>
      <c r="F6" s="13">
        <v>53</v>
      </c>
      <c r="G6" s="48">
        <v>23</v>
      </c>
      <c r="H6" s="48">
        <v>1</v>
      </c>
      <c r="I6" s="48">
        <v>5</v>
      </c>
      <c r="J6" s="49"/>
    </row>
    <row r="7" spans="1:15" ht="21" x14ac:dyDescent="0.35">
      <c r="A7" s="10"/>
      <c r="B7" s="10"/>
      <c r="C7" s="112"/>
      <c r="D7" s="16" t="s">
        <v>131</v>
      </c>
      <c r="E7" s="17" t="s">
        <v>3</v>
      </c>
      <c r="F7" s="13">
        <v>68</v>
      </c>
      <c r="G7" s="48">
        <v>27</v>
      </c>
      <c r="H7" s="48">
        <v>5</v>
      </c>
      <c r="I7" s="48">
        <v>7</v>
      </c>
      <c r="J7" s="49"/>
    </row>
    <row r="8" spans="1:15" ht="21" x14ac:dyDescent="0.35">
      <c r="A8" s="10"/>
      <c r="B8" s="10"/>
      <c r="C8" s="112"/>
      <c r="D8" s="16" t="s">
        <v>131</v>
      </c>
      <c r="E8" s="17" t="s">
        <v>4</v>
      </c>
      <c r="F8" s="13">
        <v>238</v>
      </c>
      <c r="G8" s="48">
        <v>153</v>
      </c>
      <c r="H8" s="48">
        <v>9</v>
      </c>
      <c r="I8" s="48">
        <v>15</v>
      </c>
      <c r="J8" s="49"/>
    </row>
    <row r="9" spans="1:15" ht="21" x14ac:dyDescent="0.35">
      <c r="A9" s="10"/>
      <c r="B9" s="10"/>
      <c r="C9" s="112"/>
      <c r="D9" s="16" t="s">
        <v>131</v>
      </c>
      <c r="E9" s="17" t="s">
        <v>5</v>
      </c>
      <c r="F9" s="13">
        <v>39</v>
      </c>
      <c r="G9" s="48">
        <v>24</v>
      </c>
      <c r="H9" s="49"/>
      <c r="I9" s="48">
        <v>4</v>
      </c>
      <c r="J9" s="49"/>
    </row>
    <row r="10" spans="1:15" ht="21" x14ac:dyDescent="0.35">
      <c r="A10" s="10"/>
      <c r="B10" s="10"/>
      <c r="C10" s="112"/>
      <c r="D10" s="16" t="s">
        <v>131</v>
      </c>
      <c r="E10" s="17" t="s">
        <v>6</v>
      </c>
      <c r="F10" s="13">
        <v>64</v>
      </c>
      <c r="G10" s="48">
        <v>21</v>
      </c>
      <c r="H10" s="49"/>
      <c r="I10" s="48">
        <v>4</v>
      </c>
      <c r="J10" s="49"/>
    </row>
    <row r="11" spans="1:15" ht="21" x14ac:dyDescent="0.35">
      <c r="A11" s="10"/>
      <c r="B11" s="10"/>
      <c r="C11" s="112"/>
      <c r="D11" s="16" t="s">
        <v>131</v>
      </c>
      <c r="E11" s="17" t="s">
        <v>7</v>
      </c>
      <c r="F11" s="13">
        <v>108</v>
      </c>
      <c r="G11" s="48">
        <v>27</v>
      </c>
      <c r="H11" s="48">
        <v>1</v>
      </c>
      <c r="I11" s="48">
        <v>2</v>
      </c>
      <c r="J11" s="49"/>
    </row>
    <row r="12" spans="1:15" ht="21" x14ac:dyDescent="0.35">
      <c r="A12" s="10"/>
      <c r="B12" s="10"/>
      <c r="C12" s="112"/>
      <c r="D12" s="16" t="s">
        <v>131</v>
      </c>
      <c r="E12" s="17" t="s">
        <v>8</v>
      </c>
      <c r="F12" s="13">
        <v>53</v>
      </c>
      <c r="G12" s="48">
        <v>29</v>
      </c>
      <c r="H12" s="48">
        <v>2</v>
      </c>
      <c r="I12" s="48">
        <v>4</v>
      </c>
      <c r="J12" s="49"/>
    </row>
    <row r="13" spans="1:15" ht="21" x14ac:dyDescent="0.35">
      <c r="A13" s="10"/>
      <c r="B13" s="10"/>
      <c r="C13" s="112"/>
      <c r="D13" s="16" t="s">
        <v>131</v>
      </c>
      <c r="E13" s="17" t="s">
        <v>9</v>
      </c>
      <c r="F13" s="13">
        <v>19</v>
      </c>
      <c r="G13" s="48">
        <v>18</v>
      </c>
      <c r="H13" s="49"/>
      <c r="I13" s="48">
        <v>3</v>
      </c>
      <c r="J13" s="49"/>
    </row>
    <row r="14" spans="1:15" ht="21" x14ac:dyDescent="0.35">
      <c r="A14" s="10"/>
      <c r="B14" s="10"/>
      <c r="C14" s="112"/>
      <c r="D14" s="16" t="s">
        <v>131</v>
      </c>
      <c r="E14" s="17" t="s">
        <v>11</v>
      </c>
      <c r="F14" s="13">
        <v>54</v>
      </c>
      <c r="G14" s="48">
        <v>8</v>
      </c>
      <c r="H14" s="49"/>
      <c r="I14" s="48">
        <v>1</v>
      </c>
      <c r="J14" s="49"/>
    </row>
    <row r="15" spans="1:15" ht="21" x14ac:dyDescent="0.35">
      <c r="A15" s="10"/>
      <c r="B15" s="10"/>
      <c r="C15" s="112"/>
      <c r="D15" s="16" t="s">
        <v>131</v>
      </c>
      <c r="E15" s="17" t="s">
        <v>12</v>
      </c>
      <c r="F15" s="13">
        <v>27</v>
      </c>
      <c r="G15" s="48">
        <v>15</v>
      </c>
      <c r="H15" s="48">
        <v>2</v>
      </c>
      <c r="I15" s="48">
        <v>3</v>
      </c>
      <c r="J15" s="49"/>
    </row>
    <row r="16" spans="1:15" ht="21" x14ac:dyDescent="0.35">
      <c r="A16" s="10"/>
      <c r="B16" s="10"/>
      <c r="C16" s="112"/>
      <c r="D16" s="16" t="s">
        <v>131</v>
      </c>
      <c r="E16" s="17" t="s">
        <v>13</v>
      </c>
      <c r="F16" s="13">
        <v>31</v>
      </c>
      <c r="G16" s="48">
        <v>14</v>
      </c>
      <c r="H16" s="49"/>
      <c r="I16" s="49"/>
      <c r="J16" s="49"/>
      <c r="K16">
        <f>SUM(F5:F16)</f>
        <v>797</v>
      </c>
      <c r="L16">
        <f t="shared" ref="L16:O16" si="0">SUM(G5:G16)</f>
        <v>376</v>
      </c>
      <c r="M16">
        <f t="shared" si="0"/>
        <v>21</v>
      </c>
      <c r="N16">
        <f t="shared" si="0"/>
        <v>52</v>
      </c>
      <c r="O16">
        <f t="shared" si="0"/>
        <v>0</v>
      </c>
    </row>
    <row r="17" spans="1:15" ht="21" x14ac:dyDescent="0.35">
      <c r="A17" s="4" t="s">
        <v>580</v>
      </c>
      <c r="B17" s="4" t="s">
        <v>581</v>
      </c>
      <c r="C17" s="99">
        <v>1258</v>
      </c>
      <c r="D17" s="16" t="s">
        <v>132</v>
      </c>
      <c r="E17" s="17" t="s">
        <v>17</v>
      </c>
      <c r="F17" s="12">
        <v>36</v>
      </c>
      <c r="G17" s="51">
        <v>11</v>
      </c>
      <c r="H17" s="51">
        <v>4</v>
      </c>
      <c r="I17" s="51">
        <v>5</v>
      </c>
      <c r="J17" s="50"/>
    </row>
    <row r="18" spans="1:15" ht="21" x14ac:dyDescent="0.35">
      <c r="A18" s="5"/>
      <c r="B18" s="5"/>
      <c r="C18" s="113"/>
      <c r="D18" s="16" t="s">
        <v>132</v>
      </c>
      <c r="E18" s="17" t="s">
        <v>2</v>
      </c>
      <c r="F18" s="12">
        <v>27</v>
      </c>
      <c r="G18" s="51">
        <v>18</v>
      </c>
      <c r="H18" s="51">
        <v>2</v>
      </c>
      <c r="I18" s="51">
        <v>3</v>
      </c>
      <c r="J18" s="50"/>
    </row>
    <row r="19" spans="1:15" ht="21" x14ac:dyDescent="0.35">
      <c r="A19" s="5"/>
      <c r="B19" s="5"/>
      <c r="C19" s="113"/>
      <c r="D19" s="16" t="s">
        <v>132</v>
      </c>
      <c r="E19" s="17" t="s">
        <v>3</v>
      </c>
      <c r="F19" s="12">
        <v>55</v>
      </c>
      <c r="G19" s="51">
        <v>16</v>
      </c>
      <c r="H19" s="51">
        <v>6</v>
      </c>
      <c r="I19" s="51">
        <v>1</v>
      </c>
      <c r="J19" s="50"/>
    </row>
    <row r="20" spans="1:15" ht="21" x14ac:dyDescent="0.35">
      <c r="A20" s="5"/>
      <c r="B20" s="5"/>
      <c r="C20" s="113"/>
      <c r="D20" s="16" t="s">
        <v>132</v>
      </c>
      <c r="E20" s="17" t="s">
        <v>4</v>
      </c>
      <c r="F20" s="12">
        <v>46</v>
      </c>
      <c r="G20" s="51">
        <v>17</v>
      </c>
      <c r="H20" s="51">
        <v>3</v>
      </c>
      <c r="I20" s="51">
        <v>2</v>
      </c>
      <c r="J20" s="50"/>
    </row>
    <row r="21" spans="1:15" ht="21" x14ac:dyDescent="0.35">
      <c r="A21" s="5"/>
      <c r="B21" s="5"/>
      <c r="C21" s="113"/>
      <c r="D21" s="16" t="s">
        <v>132</v>
      </c>
      <c r="E21" s="17" t="s">
        <v>5</v>
      </c>
      <c r="F21" s="12">
        <v>21</v>
      </c>
      <c r="G21" s="51">
        <v>13</v>
      </c>
      <c r="H21" s="51">
        <v>1</v>
      </c>
      <c r="I21" s="51">
        <v>2</v>
      </c>
      <c r="J21" s="50"/>
    </row>
    <row r="22" spans="1:15" ht="21" x14ac:dyDescent="0.35">
      <c r="A22" s="5"/>
      <c r="B22" s="5"/>
      <c r="C22" s="113"/>
      <c r="D22" s="16" t="s">
        <v>132</v>
      </c>
      <c r="E22" s="17" t="s">
        <v>6</v>
      </c>
      <c r="F22" s="12">
        <v>12</v>
      </c>
      <c r="G22" s="51">
        <v>13</v>
      </c>
      <c r="H22" s="51">
        <v>1</v>
      </c>
      <c r="I22" s="51">
        <v>4</v>
      </c>
      <c r="J22" s="50"/>
    </row>
    <row r="23" spans="1:15" ht="21" x14ac:dyDescent="0.35">
      <c r="A23" s="5"/>
      <c r="B23" s="5"/>
      <c r="C23" s="113"/>
      <c r="D23" s="16" t="s">
        <v>132</v>
      </c>
      <c r="E23" s="17" t="s">
        <v>7</v>
      </c>
      <c r="F23" s="12">
        <v>26</v>
      </c>
      <c r="G23" s="51">
        <v>20</v>
      </c>
      <c r="H23" s="51">
        <v>6</v>
      </c>
      <c r="I23" s="51">
        <v>1</v>
      </c>
      <c r="J23" s="50"/>
    </row>
    <row r="24" spans="1:15" ht="21" x14ac:dyDescent="0.35">
      <c r="A24" s="5"/>
      <c r="B24" s="5"/>
      <c r="C24" s="113"/>
      <c r="D24" s="16" t="s">
        <v>132</v>
      </c>
      <c r="E24" s="17" t="s">
        <v>8</v>
      </c>
      <c r="F24" s="12">
        <v>53</v>
      </c>
      <c r="G24" s="51">
        <v>19</v>
      </c>
      <c r="H24" s="50"/>
      <c r="I24" s="51">
        <v>1</v>
      </c>
      <c r="J24" s="50"/>
    </row>
    <row r="25" spans="1:15" ht="21" x14ac:dyDescent="0.35">
      <c r="A25" s="5"/>
      <c r="B25" s="5"/>
      <c r="C25" s="113"/>
      <c r="D25" s="16" t="s">
        <v>132</v>
      </c>
      <c r="E25" s="17" t="s">
        <v>9</v>
      </c>
      <c r="F25" s="12">
        <v>25</v>
      </c>
      <c r="G25" s="51">
        <v>28</v>
      </c>
      <c r="H25" s="51">
        <v>3</v>
      </c>
      <c r="I25" s="51">
        <v>2</v>
      </c>
      <c r="J25" s="50"/>
    </row>
    <row r="26" spans="1:15" ht="21" x14ac:dyDescent="0.35">
      <c r="A26" s="5"/>
      <c r="B26" s="5"/>
      <c r="C26" s="113"/>
      <c r="D26" s="16" t="s">
        <v>132</v>
      </c>
      <c r="E26" s="17" t="s">
        <v>11</v>
      </c>
      <c r="F26" s="12">
        <v>22</v>
      </c>
      <c r="G26" s="51">
        <v>17</v>
      </c>
      <c r="H26" s="50"/>
      <c r="I26" s="51">
        <v>4</v>
      </c>
      <c r="J26" s="50"/>
    </row>
    <row r="27" spans="1:15" ht="21" x14ac:dyDescent="0.35">
      <c r="A27" s="5"/>
      <c r="B27" s="5"/>
      <c r="C27" s="113"/>
      <c r="D27" s="16" t="s">
        <v>132</v>
      </c>
      <c r="E27" s="17" t="s">
        <v>12</v>
      </c>
      <c r="F27" s="12">
        <v>128</v>
      </c>
      <c r="G27" s="51">
        <v>36</v>
      </c>
      <c r="H27" s="51">
        <v>2</v>
      </c>
      <c r="I27" s="51">
        <v>3</v>
      </c>
      <c r="J27" s="50"/>
      <c r="K27">
        <f>SUM(F17:F27)</f>
        <v>451</v>
      </c>
      <c r="L27">
        <f>SUM(G17:G27)</f>
        <v>208</v>
      </c>
      <c r="M27">
        <f>SUM(H17:H27)</f>
        <v>28</v>
      </c>
      <c r="N27">
        <f>SUM(I17:I27)</f>
        <v>28</v>
      </c>
      <c r="O27">
        <f>SUM(J17:J27)</f>
        <v>0</v>
      </c>
    </row>
    <row r="28" spans="1:15" ht="21" x14ac:dyDescent="0.35">
      <c r="A28" s="9" t="s">
        <v>582</v>
      </c>
      <c r="B28" s="9" t="s">
        <v>583</v>
      </c>
      <c r="C28" s="97">
        <v>1835</v>
      </c>
      <c r="D28" s="16" t="s">
        <v>133</v>
      </c>
      <c r="E28" s="17" t="s">
        <v>17</v>
      </c>
      <c r="F28" s="13">
        <v>53</v>
      </c>
      <c r="G28" s="48">
        <v>24</v>
      </c>
      <c r="H28" s="49"/>
      <c r="I28" s="48">
        <v>4</v>
      </c>
      <c r="J28" s="48">
        <v>1</v>
      </c>
    </row>
    <row r="29" spans="1:15" ht="21" x14ac:dyDescent="0.35">
      <c r="A29" s="10"/>
      <c r="B29" s="10"/>
      <c r="C29" s="112"/>
      <c r="D29" s="16" t="s">
        <v>133</v>
      </c>
      <c r="E29" s="17" t="s">
        <v>2</v>
      </c>
      <c r="F29" s="13">
        <v>192</v>
      </c>
      <c r="G29" s="48">
        <v>47</v>
      </c>
      <c r="H29" s="48">
        <v>3</v>
      </c>
      <c r="I29" s="48">
        <v>9</v>
      </c>
      <c r="J29" s="48">
        <v>1</v>
      </c>
    </row>
    <row r="30" spans="1:15" ht="21" x14ac:dyDescent="0.35">
      <c r="A30" s="10"/>
      <c r="B30" s="10"/>
      <c r="C30" s="112"/>
      <c r="D30" s="16" t="s">
        <v>133</v>
      </c>
      <c r="E30" s="17" t="s">
        <v>3</v>
      </c>
      <c r="F30" s="13">
        <v>42</v>
      </c>
      <c r="G30" s="48">
        <v>20</v>
      </c>
      <c r="H30" s="48">
        <v>5</v>
      </c>
      <c r="I30" s="48">
        <v>5</v>
      </c>
      <c r="J30" s="49"/>
    </row>
    <row r="31" spans="1:15" ht="21" x14ac:dyDescent="0.35">
      <c r="A31" s="10"/>
      <c r="B31" s="10"/>
      <c r="C31" s="112"/>
      <c r="D31" s="16" t="s">
        <v>133</v>
      </c>
      <c r="E31" s="17" t="s">
        <v>4</v>
      </c>
      <c r="F31" s="13">
        <v>122</v>
      </c>
      <c r="G31" s="48">
        <v>34</v>
      </c>
      <c r="H31" s="48">
        <v>3</v>
      </c>
      <c r="I31" s="48">
        <v>4</v>
      </c>
      <c r="J31" s="49"/>
    </row>
    <row r="32" spans="1:15" ht="21" x14ac:dyDescent="0.35">
      <c r="A32" s="10"/>
      <c r="B32" s="10"/>
      <c r="C32" s="112"/>
      <c r="D32" s="16" t="s">
        <v>133</v>
      </c>
      <c r="E32" s="17" t="s">
        <v>5</v>
      </c>
      <c r="F32" s="13">
        <v>98</v>
      </c>
      <c r="G32" s="48">
        <v>40</v>
      </c>
      <c r="H32" s="48">
        <v>4</v>
      </c>
      <c r="I32" s="48">
        <v>4</v>
      </c>
      <c r="J32" s="49"/>
    </row>
    <row r="33" spans="1:15" ht="21" x14ac:dyDescent="0.35">
      <c r="A33" s="10"/>
      <c r="B33" s="10"/>
      <c r="C33" s="112"/>
      <c r="D33" s="16" t="s">
        <v>133</v>
      </c>
      <c r="E33" s="17" t="s">
        <v>6</v>
      </c>
      <c r="F33" s="13">
        <v>73</v>
      </c>
      <c r="G33" s="48">
        <v>24</v>
      </c>
      <c r="H33" s="48">
        <v>3</v>
      </c>
      <c r="I33" s="48">
        <v>3</v>
      </c>
      <c r="J33" s="49"/>
    </row>
    <row r="34" spans="1:15" ht="21" x14ac:dyDescent="0.35">
      <c r="A34" s="10"/>
      <c r="B34" s="10"/>
      <c r="C34" s="112"/>
      <c r="D34" s="16" t="s">
        <v>133</v>
      </c>
      <c r="E34" s="17" t="s">
        <v>7</v>
      </c>
      <c r="F34" s="13">
        <v>68</v>
      </c>
      <c r="G34" s="48">
        <v>37</v>
      </c>
      <c r="H34" s="48">
        <v>5</v>
      </c>
      <c r="I34" s="48">
        <v>2</v>
      </c>
      <c r="J34" s="49"/>
    </row>
    <row r="35" spans="1:15" ht="21" x14ac:dyDescent="0.35">
      <c r="A35" s="10"/>
      <c r="B35" s="10"/>
      <c r="C35" s="112"/>
      <c r="D35" s="16" t="s">
        <v>133</v>
      </c>
      <c r="E35" s="17" t="s">
        <v>8</v>
      </c>
      <c r="F35" s="13">
        <v>103</v>
      </c>
      <c r="G35" s="48">
        <v>15</v>
      </c>
      <c r="H35" s="48">
        <v>2</v>
      </c>
      <c r="I35" s="48">
        <v>3</v>
      </c>
      <c r="J35" s="48">
        <v>1</v>
      </c>
      <c r="K35">
        <f>SUM(F28:F35)</f>
        <v>751</v>
      </c>
      <c r="L35">
        <f t="shared" ref="L35:O35" si="1">SUM(G28:G35)</f>
        <v>241</v>
      </c>
      <c r="M35">
        <f t="shared" si="1"/>
        <v>25</v>
      </c>
      <c r="N35">
        <f t="shared" si="1"/>
        <v>34</v>
      </c>
      <c r="O35">
        <f t="shared" si="1"/>
        <v>3</v>
      </c>
    </row>
    <row r="36" spans="1:15" ht="21" x14ac:dyDescent="0.35">
      <c r="A36" s="4" t="s">
        <v>584</v>
      </c>
      <c r="B36" s="4" t="s">
        <v>585</v>
      </c>
      <c r="C36" s="99">
        <v>1253</v>
      </c>
      <c r="D36" s="16" t="s">
        <v>134</v>
      </c>
      <c r="E36" s="17" t="s">
        <v>17</v>
      </c>
      <c r="F36" s="12">
        <v>78</v>
      </c>
      <c r="G36" s="51">
        <v>37</v>
      </c>
      <c r="H36" s="51">
        <v>3</v>
      </c>
      <c r="I36" s="51">
        <v>3</v>
      </c>
      <c r="J36" s="50"/>
    </row>
    <row r="37" spans="1:15" ht="21" x14ac:dyDescent="0.35">
      <c r="A37" s="5"/>
      <c r="B37" s="5"/>
      <c r="C37" s="113"/>
      <c r="D37" s="16" t="s">
        <v>134</v>
      </c>
      <c r="E37" s="17" t="s">
        <v>2</v>
      </c>
      <c r="F37" s="12">
        <v>79</v>
      </c>
      <c r="G37" s="51">
        <v>14</v>
      </c>
      <c r="H37" s="50"/>
      <c r="I37" s="51">
        <v>1</v>
      </c>
      <c r="J37" s="50"/>
    </row>
    <row r="38" spans="1:15" ht="21" x14ac:dyDescent="0.35">
      <c r="A38" s="5"/>
      <c r="B38" s="5"/>
      <c r="C38" s="113"/>
      <c r="D38" s="16" t="s">
        <v>134</v>
      </c>
      <c r="E38" s="17" t="s">
        <v>3</v>
      </c>
      <c r="F38" s="12">
        <v>86</v>
      </c>
      <c r="G38" s="51">
        <v>20</v>
      </c>
      <c r="H38" s="50"/>
      <c r="I38" s="51">
        <v>4</v>
      </c>
      <c r="J38" s="50"/>
    </row>
    <row r="39" spans="1:15" ht="21" x14ac:dyDescent="0.35">
      <c r="A39" s="5"/>
      <c r="B39" s="5"/>
      <c r="C39" s="113"/>
      <c r="D39" s="16" t="s">
        <v>134</v>
      </c>
      <c r="E39" s="17" t="s">
        <v>4</v>
      </c>
      <c r="F39" s="12">
        <v>100</v>
      </c>
      <c r="G39" s="51">
        <v>42</v>
      </c>
      <c r="H39" s="51">
        <v>8</v>
      </c>
      <c r="I39" s="51">
        <v>6</v>
      </c>
      <c r="J39" s="50"/>
    </row>
    <row r="40" spans="1:15" ht="21" x14ac:dyDescent="0.35">
      <c r="A40" s="5"/>
      <c r="B40" s="5"/>
      <c r="C40" s="113"/>
      <c r="D40" s="16" t="s">
        <v>134</v>
      </c>
      <c r="E40" s="17" t="s">
        <v>5</v>
      </c>
      <c r="F40" s="12">
        <v>103</v>
      </c>
      <c r="G40" s="51">
        <v>12</v>
      </c>
      <c r="H40" s="51">
        <v>4</v>
      </c>
      <c r="I40" s="51">
        <v>6</v>
      </c>
      <c r="J40" s="50"/>
    </row>
    <row r="41" spans="1:15" ht="21" x14ac:dyDescent="0.35">
      <c r="A41" s="5"/>
      <c r="B41" s="5"/>
      <c r="C41" s="113"/>
      <c r="D41" s="16" t="s">
        <v>134</v>
      </c>
      <c r="E41" s="17" t="s">
        <v>6</v>
      </c>
      <c r="F41" s="12">
        <v>113</v>
      </c>
      <c r="G41" s="51">
        <v>12</v>
      </c>
      <c r="H41" s="51">
        <v>8</v>
      </c>
      <c r="I41" s="51">
        <v>11</v>
      </c>
      <c r="J41" s="50"/>
      <c r="K41">
        <f>SUM(F36:F41)</f>
        <v>559</v>
      </c>
      <c r="L41">
        <f t="shared" ref="L41:O41" si="2">SUM(G36:G41)</f>
        <v>137</v>
      </c>
      <c r="M41">
        <f t="shared" si="2"/>
        <v>23</v>
      </c>
      <c r="N41">
        <f t="shared" si="2"/>
        <v>31</v>
      </c>
      <c r="O41">
        <f t="shared" si="2"/>
        <v>0</v>
      </c>
    </row>
    <row r="42" spans="1:15" ht="21" x14ac:dyDescent="0.35">
      <c r="A42" s="9" t="s">
        <v>576</v>
      </c>
      <c r="B42" s="9" t="s">
        <v>577</v>
      </c>
      <c r="C42" s="97">
        <v>2309</v>
      </c>
      <c r="D42" s="16" t="s">
        <v>135</v>
      </c>
      <c r="E42" s="17" t="s">
        <v>17</v>
      </c>
      <c r="F42" s="13">
        <v>71</v>
      </c>
      <c r="G42" s="48">
        <v>27</v>
      </c>
      <c r="H42" s="49"/>
      <c r="I42" s="48">
        <v>3</v>
      </c>
      <c r="J42" s="49"/>
    </row>
    <row r="43" spans="1:15" ht="21" x14ac:dyDescent="0.35">
      <c r="A43" s="10"/>
      <c r="B43" s="10"/>
      <c r="C43" s="112"/>
      <c r="D43" s="16" t="s">
        <v>135</v>
      </c>
      <c r="E43" s="17" t="s">
        <v>2</v>
      </c>
      <c r="F43" s="13">
        <v>78</v>
      </c>
      <c r="G43" s="48">
        <v>26</v>
      </c>
      <c r="H43" s="48">
        <v>1</v>
      </c>
      <c r="I43" s="48">
        <v>1</v>
      </c>
      <c r="J43" s="49"/>
    </row>
    <row r="44" spans="1:15" ht="21" x14ac:dyDescent="0.35">
      <c r="A44" s="10"/>
      <c r="B44" s="10"/>
      <c r="C44" s="112"/>
      <c r="D44" s="16" t="s">
        <v>135</v>
      </c>
      <c r="E44" s="17" t="s">
        <v>3</v>
      </c>
      <c r="F44" s="13">
        <v>45</v>
      </c>
      <c r="G44" s="48">
        <v>36</v>
      </c>
      <c r="H44" s="48">
        <v>3</v>
      </c>
      <c r="I44" s="48">
        <v>5</v>
      </c>
      <c r="J44" s="49"/>
    </row>
    <row r="45" spans="1:15" ht="21" x14ac:dyDescent="0.35">
      <c r="A45" s="10"/>
      <c r="B45" s="10"/>
      <c r="C45" s="112"/>
      <c r="D45" s="16" t="s">
        <v>135</v>
      </c>
      <c r="E45" s="17" t="s">
        <v>4</v>
      </c>
      <c r="F45" s="13">
        <v>73</v>
      </c>
      <c r="G45" s="48">
        <v>60</v>
      </c>
      <c r="H45" s="48">
        <v>6</v>
      </c>
      <c r="I45" s="48">
        <v>6</v>
      </c>
      <c r="J45" s="49"/>
    </row>
    <row r="46" spans="1:15" ht="21" x14ac:dyDescent="0.35">
      <c r="A46" s="10"/>
      <c r="B46" s="10"/>
      <c r="C46" s="112"/>
      <c r="D46" s="16" t="s">
        <v>135</v>
      </c>
      <c r="E46" s="17" t="s">
        <v>5</v>
      </c>
      <c r="F46" s="13">
        <v>47</v>
      </c>
      <c r="G46" s="48">
        <v>47</v>
      </c>
      <c r="H46" s="48">
        <v>4</v>
      </c>
      <c r="I46" s="48">
        <v>4</v>
      </c>
      <c r="J46" s="49"/>
    </row>
    <row r="47" spans="1:15" ht="21" x14ac:dyDescent="0.35">
      <c r="A47" s="10"/>
      <c r="B47" s="10"/>
      <c r="C47" s="112"/>
      <c r="D47" s="16" t="s">
        <v>135</v>
      </c>
      <c r="E47" s="17" t="s">
        <v>6</v>
      </c>
      <c r="F47" s="13">
        <v>48</v>
      </c>
      <c r="G47" s="48">
        <v>28</v>
      </c>
      <c r="H47" s="48">
        <v>5</v>
      </c>
      <c r="I47" s="48">
        <v>5</v>
      </c>
      <c r="J47" s="49"/>
    </row>
    <row r="48" spans="1:15" ht="21" x14ac:dyDescent="0.35">
      <c r="A48" s="10"/>
      <c r="B48" s="10"/>
      <c r="C48" s="112"/>
      <c r="D48" s="16" t="s">
        <v>135</v>
      </c>
      <c r="E48" s="17" t="s">
        <v>7</v>
      </c>
      <c r="F48" s="13">
        <v>34</v>
      </c>
      <c r="G48" s="48">
        <v>25</v>
      </c>
      <c r="H48" s="48">
        <v>2</v>
      </c>
      <c r="I48" s="48">
        <v>2</v>
      </c>
      <c r="J48" s="49"/>
      <c r="K48">
        <f>SUM(F42:F48)</f>
        <v>396</v>
      </c>
      <c r="L48">
        <f t="shared" ref="L48:O48" si="3">SUM(G42:G48)</f>
        <v>249</v>
      </c>
      <c r="M48">
        <f t="shared" si="3"/>
        <v>21</v>
      </c>
      <c r="N48">
        <f t="shared" si="3"/>
        <v>26</v>
      </c>
      <c r="O48">
        <f t="shared" si="3"/>
        <v>0</v>
      </c>
    </row>
    <row r="49" spans="1:15" ht="21" x14ac:dyDescent="0.35">
      <c r="A49" s="4" t="s">
        <v>382</v>
      </c>
      <c r="B49" s="4" t="s">
        <v>383</v>
      </c>
      <c r="C49" s="99">
        <v>1058</v>
      </c>
      <c r="D49" s="16" t="s">
        <v>136</v>
      </c>
      <c r="E49" s="17" t="s">
        <v>17</v>
      </c>
      <c r="F49" s="12">
        <v>102</v>
      </c>
      <c r="G49" s="51">
        <v>14</v>
      </c>
      <c r="H49" s="51">
        <v>10</v>
      </c>
      <c r="I49" s="51">
        <v>3</v>
      </c>
      <c r="J49" s="50"/>
    </row>
    <row r="50" spans="1:15" ht="21" x14ac:dyDescent="0.35">
      <c r="A50" s="5"/>
      <c r="B50" s="5"/>
      <c r="C50" s="113"/>
      <c r="D50" s="16" t="s">
        <v>136</v>
      </c>
      <c r="E50" s="17" t="s">
        <v>2</v>
      </c>
      <c r="F50" s="12">
        <v>47</v>
      </c>
      <c r="G50" s="51">
        <v>30</v>
      </c>
      <c r="H50" s="50"/>
      <c r="I50" s="50"/>
      <c r="J50" s="50"/>
    </row>
    <row r="51" spans="1:15" ht="21" x14ac:dyDescent="0.35">
      <c r="A51" s="5"/>
      <c r="B51" s="5"/>
      <c r="C51" s="113"/>
      <c r="D51" s="16" t="s">
        <v>136</v>
      </c>
      <c r="E51" s="17" t="s">
        <v>3</v>
      </c>
      <c r="F51" s="12">
        <v>53</v>
      </c>
      <c r="G51" s="51">
        <v>8</v>
      </c>
      <c r="H51" s="51">
        <v>6</v>
      </c>
      <c r="I51" s="51">
        <v>5</v>
      </c>
      <c r="J51" s="50"/>
    </row>
    <row r="52" spans="1:15" ht="21" x14ac:dyDescent="0.35">
      <c r="A52" s="5"/>
      <c r="B52" s="5"/>
      <c r="C52" s="113"/>
      <c r="D52" s="16" t="s">
        <v>136</v>
      </c>
      <c r="E52" s="17" t="s">
        <v>4</v>
      </c>
      <c r="F52" s="12">
        <v>59</v>
      </c>
      <c r="G52" s="51">
        <v>6</v>
      </c>
      <c r="H52" s="51">
        <v>7</v>
      </c>
      <c r="I52" s="50"/>
      <c r="J52" s="50"/>
    </row>
    <row r="53" spans="1:15" ht="21" x14ac:dyDescent="0.35">
      <c r="A53" s="5"/>
      <c r="B53" s="5"/>
      <c r="C53" s="113"/>
      <c r="D53" s="16" t="s">
        <v>136</v>
      </c>
      <c r="E53" s="17" t="s">
        <v>5</v>
      </c>
      <c r="F53" s="12">
        <v>37</v>
      </c>
      <c r="G53" s="51">
        <v>23</v>
      </c>
      <c r="H53" s="51">
        <v>1</v>
      </c>
      <c r="I53" s="51">
        <v>3</v>
      </c>
      <c r="J53" s="50"/>
    </row>
    <row r="54" spans="1:15" ht="21" x14ac:dyDescent="0.35">
      <c r="A54" s="5"/>
      <c r="B54" s="5"/>
      <c r="C54" s="113"/>
      <c r="D54" s="16" t="s">
        <v>136</v>
      </c>
      <c r="E54" s="17" t="s">
        <v>6</v>
      </c>
      <c r="F54" s="12">
        <v>62</v>
      </c>
      <c r="G54" s="51">
        <v>13</v>
      </c>
      <c r="H54" s="51">
        <v>4</v>
      </c>
      <c r="I54" s="51">
        <v>6</v>
      </c>
      <c r="J54" s="50"/>
    </row>
    <row r="55" spans="1:15" ht="21" x14ac:dyDescent="0.35">
      <c r="A55" s="5"/>
      <c r="B55" s="5"/>
      <c r="C55" s="113"/>
      <c r="D55" s="16" t="s">
        <v>136</v>
      </c>
      <c r="E55" s="17" t="s">
        <v>7</v>
      </c>
      <c r="F55" s="12">
        <v>65</v>
      </c>
      <c r="G55" s="51">
        <v>20</v>
      </c>
      <c r="H55" s="51">
        <v>6</v>
      </c>
      <c r="I55" s="51">
        <v>4</v>
      </c>
      <c r="J55" s="50"/>
    </row>
    <row r="56" spans="1:15" ht="21" x14ac:dyDescent="0.35">
      <c r="A56" s="5"/>
      <c r="B56" s="5"/>
      <c r="C56" s="113"/>
      <c r="D56" s="16" t="s">
        <v>136</v>
      </c>
      <c r="E56" s="17" t="s">
        <v>8</v>
      </c>
      <c r="F56" s="12">
        <v>100</v>
      </c>
      <c r="G56" s="51">
        <v>48</v>
      </c>
      <c r="H56" s="51">
        <v>4</v>
      </c>
      <c r="I56" s="51">
        <v>5</v>
      </c>
      <c r="J56" s="50"/>
      <c r="K56">
        <f>SUM(F49:F56)</f>
        <v>525</v>
      </c>
      <c r="L56">
        <f t="shared" ref="L56:O56" si="4">SUM(G49:G56)</f>
        <v>162</v>
      </c>
      <c r="M56">
        <f t="shared" si="4"/>
        <v>38</v>
      </c>
      <c r="N56">
        <f t="shared" si="4"/>
        <v>26</v>
      </c>
      <c r="O56">
        <f t="shared" si="4"/>
        <v>0</v>
      </c>
    </row>
    <row r="57" spans="1:15" ht="21" x14ac:dyDescent="0.35">
      <c r="A57" s="9" t="s">
        <v>586</v>
      </c>
      <c r="B57" s="9" t="s">
        <v>587</v>
      </c>
      <c r="C57" s="97">
        <v>1263</v>
      </c>
      <c r="D57" s="16" t="s">
        <v>137</v>
      </c>
      <c r="E57" s="17" t="s">
        <v>17</v>
      </c>
      <c r="F57" s="13">
        <v>44</v>
      </c>
      <c r="G57" s="48">
        <v>16</v>
      </c>
      <c r="H57" s="48">
        <v>2</v>
      </c>
      <c r="I57" s="48">
        <v>1</v>
      </c>
      <c r="J57" s="49"/>
    </row>
    <row r="58" spans="1:15" ht="21" x14ac:dyDescent="0.35">
      <c r="A58" s="10"/>
      <c r="B58" s="10"/>
      <c r="C58" s="112"/>
      <c r="D58" s="16" t="s">
        <v>137</v>
      </c>
      <c r="E58" s="17" t="s">
        <v>2</v>
      </c>
      <c r="F58" s="13">
        <v>69</v>
      </c>
      <c r="G58" s="48">
        <v>9</v>
      </c>
      <c r="H58" s="48">
        <v>1</v>
      </c>
      <c r="I58" s="48">
        <v>3</v>
      </c>
      <c r="J58" s="49"/>
    </row>
    <row r="59" spans="1:15" ht="21" x14ac:dyDescent="0.35">
      <c r="A59" s="10"/>
      <c r="B59" s="10"/>
      <c r="C59" s="112"/>
      <c r="D59" s="16" t="s">
        <v>137</v>
      </c>
      <c r="E59" s="17" t="s">
        <v>3</v>
      </c>
      <c r="F59" s="13">
        <v>125</v>
      </c>
      <c r="G59" s="48">
        <v>19</v>
      </c>
      <c r="H59" s="49"/>
      <c r="I59" s="48">
        <v>2</v>
      </c>
      <c r="J59" s="49"/>
    </row>
    <row r="60" spans="1:15" ht="21" x14ac:dyDescent="0.35">
      <c r="A60" s="10"/>
      <c r="B60" s="10"/>
      <c r="C60" s="112"/>
      <c r="D60" s="16" t="s">
        <v>137</v>
      </c>
      <c r="E60" s="17" t="s">
        <v>4</v>
      </c>
      <c r="F60" s="13">
        <v>62</v>
      </c>
      <c r="G60" s="48">
        <v>12</v>
      </c>
      <c r="H60" s="49"/>
      <c r="I60" s="48">
        <v>2</v>
      </c>
      <c r="J60" s="49"/>
    </row>
    <row r="61" spans="1:15" ht="21" x14ac:dyDescent="0.35">
      <c r="A61" s="10"/>
      <c r="B61" s="10"/>
      <c r="C61" s="112"/>
      <c r="D61" s="16" t="s">
        <v>137</v>
      </c>
      <c r="E61" s="17" t="s">
        <v>5</v>
      </c>
      <c r="F61" s="13">
        <v>69</v>
      </c>
      <c r="G61" s="48">
        <v>13</v>
      </c>
      <c r="H61" s="49"/>
      <c r="I61" s="48">
        <v>2</v>
      </c>
      <c r="J61" s="49"/>
    </row>
    <row r="62" spans="1:15" ht="21" x14ac:dyDescent="0.35">
      <c r="A62" s="10"/>
      <c r="B62" s="10"/>
      <c r="C62" s="112"/>
      <c r="D62" s="16" t="s">
        <v>137</v>
      </c>
      <c r="E62" s="17" t="s">
        <v>6</v>
      </c>
      <c r="F62" s="13">
        <v>28</v>
      </c>
      <c r="G62" s="48">
        <v>17</v>
      </c>
      <c r="H62" s="49"/>
      <c r="I62" s="48">
        <v>2</v>
      </c>
      <c r="J62" s="49"/>
      <c r="K62">
        <f>SUM(F57:F62)</f>
        <v>397</v>
      </c>
      <c r="L62">
        <f t="shared" ref="L62:N62" si="5">SUM(G57:G62)</f>
        <v>86</v>
      </c>
      <c r="M62">
        <f t="shared" si="5"/>
        <v>3</v>
      </c>
      <c r="N62">
        <f t="shared" si="5"/>
        <v>12</v>
      </c>
      <c r="O62">
        <f>SUM(J57:J62)</f>
        <v>0</v>
      </c>
    </row>
    <row r="63" spans="1:15" ht="21" x14ac:dyDescent="0.35">
      <c r="A63" s="4" t="s">
        <v>588</v>
      </c>
      <c r="B63" s="4" t="s">
        <v>589</v>
      </c>
      <c r="C63" s="99">
        <v>1156</v>
      </c>
      <c r="D63" s="16" t="s">
        <v>138</v>
      </c>
      <c r="E63" s="17" t="s">
        <v>17</v>
      </c>
      <c r="F63" s="12">
        <v>54</v>
      </c>
      <c r="G63" s="51">
        <v>13</v>
      </c>
      <c r="H63" s="50"/>
      <c r="I63" s="51">
        <v>2</v>
      </c>
      <c r="J63" s="50"/>
    </row>
    <row r="64" spans="1:15" ht="21" x14ac:dyDescent="0.35">
      <c r="A64" s="5"/>
      <c r="B64" s="5"/>
      <c r="C64" s="113"/>
      <c r="D64" s="16" t="s">
        <v>138</v>
      </c>
      <c r="E64" s="17" t="s">
        <v>2</v>
      </c>
      <c r="F64" s="12">
        <v>46</v>
      </c>
      <c r="G64" s="51">
        <v>15</v>
      </c>
      <c r="H64" s="51">
        <v>14</v>
      </c>
      <c r="I64" s="50"/>
      <c r="J64" s="50"/>
    </row>
    <row r="65" spans="1:15" ht="21" x14ac:dyDescent="0.35">
      <c r="A65" s="5"/>
      <c r="B65" s="5"/>
      <c r="C65" s="113"/>
      <c r="D65" s="16" t="s">
        <v>138</v>
      </c>
      <c r="E65" s="17" t="s">
        <v>3</v>
      </c>
      <c r="F65" s="12">
        <v>50</v>
      </c>
      <c r="G65" s="51">
        <v>6</v>
      </c>
      <c r="H65" s="51">
        <v>5</v>
      </c>
      <c r="I65" s="51">
        <v>1</v>
      </c>
      <c r="J65" s="50"/>
    </row>
    <row r="66" spans="1:15" ht="21" x14ac:dyDescent="0.35">
      <c r="A66" s="5"/>
      <c r="B66" s="5"/>
      <c r="C66" s="113"/>
      <c r="D66" s="16" t="s">
        <v>138</v>
      </c>
      <c r="E66" s="17" t="s">
        <v>4</v>
      </c>
      <c r="F66" s="12">
        <v>75</v>
      </c>
      <c r="G66" s="51">
        <v>20</v>
      </c>
      <c r="H66" s="51">
        <v>1</v>
      </c>
      <c r="I66" s="51">
        <v>1</v>
      </c>
      <c r="J66" s="50"/>
    </row>
    <row r="67" spans="1:15" ht="21" x14ac:dyDescent="0.35">
      <c r="A67" s="5"/>
      <c r="B67" s="5"/>
      <c r="C67" s="113"/>
      <c r="D67" s="16" t="s">
        <v>138</v>
      </c>
      <c r="E67" s="17" t="s">
        <v>5</v>
      </c>
      <c r="F67" s="12">
        <v>39</v>
      </c>
      <c r="G67" s="51">
        <v>20</v>
      </c>
      <c r="H67" s="50"/>
      <c r="I67" s="51">
        <v>3</v>
      </c>
      <c r="J67" s="50"/>
    </row>
    <row r="68" spans="1:15" ht="21" x14ac:dyDescent="0.35">
      <c r="A68" s="5"/>
      <c r="B68" s="5"/>
      <c r="C68" s="113"/>
      <c r="D68" s="16" t="s">
        <v>138</v>
      </c>
      <c r="E68" s="17" t="s">
        <v>6</v>
      </c>
      <c r="F68" s="12">
        <v>88</v>
      </c>
      <c r="G68" s="51">
        <v>14</v>
      </c>
      <c r="H68" s="51">
        <v>3</v>
      </c>
      <c r="I68" s="51">
        <v>2</v>
      </c>
      <c r="J68" s="50"/>
    </row>
    <row r="69" spans="1:15" ht="21" x14ac:dyDescent="0.35">
      <c r="A69" s="5"/>
      <c r="B69" s="5"/>
      <c r="C69" s="113"/>
      <c r="D69" s="16" t="s">
        <v>138</v>
      </c>
      <c r="E69" s="17" t="s">
        <v>7</v>
      </c>
      <c r="F69" s="12">
        <v>29</v>
      </c>
      <c r="G69" s="51">
        <v>10</v>
      </c>
      <c r="H69" s="50"/>
      <c r="I69" s="51">
        <v>1</v>
      </c>
      <c r="J69" s="50"/>
    </row>
    <row r="70" spans="1:15" ht="21" x14ac:dyDescent="0.35">
      <c r="A70" s="5"/>
      <c r="B70" s="5"/>
      <c r="C70" s="113"/>
      <c r="D70" s="16" t="s">
        <v>138</v>
      </c>
      <c r="E70" s="17" t="s">
        <v>8</v>
      </c>
      <c r="F70" s="12">
        <v>31</v>
      </c>
      <c r="G70" s="51">
        <v>21</v>
      </c>
      <c r="H70" s="50"/>
      <c r="I70" s="51">
        <v>7</v>
      </c>
      <c r="J70" s="50"/>
      <c r="K70">
        <f>SUM(F63:F70)</f>
        <v>412</v>
      </c>
      <c r="L70">
        <f t="shared" ref="L70:O70" si="6">SUM(G63:G70)</f>
        <v>119</v>
      </c>
      <c r="M70">
        <f t="shared" si="6"/>
        <v>23</v>
      </c>
      <c r="N70">
        <f t="shared" si="6"/>
        <v>17</v>
      </c>
      <c r="O70">
        <f t="shared" si="6"/>
        <v>0</v>
      </c>
    </row>
    <row r="71" spans="1:15" ht="21" x14ac:dyDescent="0.35">
      <c r="A71" s="9" t="s">
        <v>590</v>
      </c>
      <c r="B71" s="9" t="s">
        <v>591</v>
      </c>
      <c r="C71" s="97">
        <v>1265</v>
      </c>
      <c r="D71" s="16" t="s">
        <v>139</v>
      </c>
      <c r="E71" s="17" t="s">
        <v>17</v>
      </c>
      <c r="F71" s="13">
        <v>162</v>
      </c>
      <c r="G71" s="48">
        <v>48</v>
      </c>
      <c r="H71" s="49"/>
      <c r="I71" s="48">
        <v>7</v>
      </c>
      <c r="J71" s="49"/>
    </row>
    <row r="72" spans="1:15" ht="21" x14ac:dyDescent="0.35">
      <c r="A72" s="10"/>
      <c r="B72" s="10"/>
      <c r="C72" s="112"/>
      <c r="D72" s="16" t="s">
        <v>139</v>
      </c>
      <c r="E72" s="17" t="s">
        <v>2</v>
      </c>
      <c r="F72" s="13">
        <v>45</v>
      </c>
      <c r="G72" s="48">
        <v>19</v>
      </c>
      <c r="H72" s="49"/>
      <c r="I72" s="48">
        <v>1</v>
      </c>
      <c r="J72" s="49"/>
    </row>
    <row r="73" spans="1:15" ht="21" x14ac:dyDescent="0.35">
      <c r="A73" s="10"/>
      <c r="B73" s="10"/>
      <c r="C73" s="112"/>
      <c r="D73" s="16" t="s">
        <v>139</v>
      </c>
      <c r="E73" s="17" t="s">
        <v>3</v>
      </c>
      <c r="F73" s="13">
        <v>20</v>
      </c>
      <c r="G73" s="48">
        <v>17</v>
      </c>
      <c r="H73" s="49"/>
      <c r="I73" s="48">
        <v>1</v>
      </c>
      <c r="J73" s="49"/>
    </row>
    <row r="74" spans="1:15" ht="21" x14ac:dyDescent="0.35">
      <c r="A74" s="10"/>
      <c r="B74" s="10"/>
      <c r="C74" s="112"/>
      <c r="D74" s="16" t="s">
        <v>139</v>
      </c>
      <c r="E74" s="17" t="s">
        <v>4</v>
      </c>
      <c r="F74" s="13">
        <v>38</v>
      </c>
      <c r="G74" s="48">
        <v>19</v>
      </c>
      <c r="H74" s="48">
        <v>7</v>
      </c>
      <c r="I74" s="49"/>
      <c r="J74" s="49"/>
    </row>
    <row r="75" spans="1:15" ht="21" x14ac:dyDescent="0.35">
      <c r="A75" s="10"/>
      <c r="B75" s="10"/>
      <c r="C75" s="112"/>
      <c r="D75" s="16" t="s">
        <v>139</v>
      </c>
      <c r="E75" s="17" t="s">
        <v>5</v>
      </c>
      <c r="F75" s="13">
        <v>20</v>
      </c>
      <c r="G75" s="48">
        <v>31</v>
      </c>
      <c r="H75" s="49"/>
      <c r="I75" s="48">
        <v>3</v>
      </c>
      <c r="J75" s="49"/>
    </row>
    <row r="76" spans="1:15" ht="21" x14ac:dyDescent="0.35">
      <c r="A76" s="10"/>
      <c r="B76" s="10"/>
      <c r="C76" s="112"/>
      <c r="D76" s="16" t="s">
        <v>139</v>
      </c>
      <c r="E76" s="17" t="s">
        <v>6</v>
      </c>
      <c r="F76" s="13">
        <v>18</v>
      </c>
      <c r="G76" s="48">
        <v>26</v>
      </c>
      <c r="H76" s="49"/>
      <c r="I76" s="49"/>
      <c r="J76" s="49"/>
    </row>
    <row r="77" spans="1:15" ht="21" x14ac:dyDescent="0.35">
      <c r="A77" s="10"/>
      <c r="B77" s="10"/>
      <c r="C77" s="112"/>
      <c r="D77" s="16" t="s">
        <v>139</v>
      </c>
      <c r="E77" s="17" t="s">
        <v>7</v>
      </c>
      <c r="F77" s="13">
        <v>23</v>
      </c>
      <c r="G77" s="48">
        <v>8</v>
      </c>
      <c r="H77" s="49"/>
      <c r="I77" s="49"/>
      <c r="J77" s="49"/>
    </row>
    <row r="78" spans="1:15" ht="21" x14ac:dyDescent="0.35">
      <c r="A78" s="10"/>
      <c r="B78" s="10"/>
      <c r="C78" s="112"/>
      <c r="D78" s="16" t="s">
        <v>139</v>
      </c>
      <c r="E78" s="17" t="s">
        <v>8</v>
      </c>
      <c r="F78" s="13">
        <v>41</v>
      </c>
      <c r="G78" s="48">
        <v>11</v>
      </c>
      <c r="H78" s="48">
        <v>1</v>
      </c>
      <c r="I78" s="48">
        <v>1</v>
      </c>
      <c r="J78" s="49"/>
    </row>
    <row r="79" spans="1:15" ht="21" x14ac:dyDescent="0.35">
      <c r="A79" s="10"/>
      <c r="B79" s="10"/>
      <c r="C79" s="112"/>
      <c r="D79" s="16" t="s">
        <v>139</v>
      </c>
      <c r="E79" s="17" t="s">
        <v>9</v>
      </c>
      <c r="F79" s="13">
        <v>57</v>
      </c>
      <c r="G79" s="48">
        <v>7</v>
      </c>
      <c r="H79" s="48">
        <v>1</v>
      </c>
      <c r="I79" s="49"/>
      <c r="J79" s="49"/>
    </row>
    <row r="80" spans="1:15" ht="21" x14ac:dyDescent="0.35">
      <c r="A80" s="10"/>
      <c r="B80" s="10"/>
      <c r="C80" s="112"/>
      <c r="D80" s="16" t="s">
        <v>139</v>
      </c>
      <c r="E80" s="17" t="s">
        <v>11</v>
      </c>
      <c r="F80" s="13">
        <v>49</v>
      </c>
      <c r="G80" s="48">
        <v>3</v>
      </c>
      <c r="H80" s="49"/>
      <c r="I80" s="48">
        <v>2</v>
      </c>
      <c r="J80" s="49"/>
    </row>
    <row r="81" spans="1:15" ht="21" x14ac:dyDescent="0.35">
      <c r="A81" s="10"/>
      <c r="B81" s="10"/>
      <c r="C81" s="112"/>
      <c r="D81" s="16" t="s">
        <v>139</v>
      </c>
      <c r="E81" s="17" t="s">
        <v>12</v>
      </c>
      <c r="F81" s="13">
        <v>41</v>
      </c>
      <c r="G81" s="48">
        <v>17</v>
      </c>
      <c r="H81" s="49"/>
      <c r="I81" s="48">
        <v>3</v>
      </c>
      <c r="J81" s="49"/>
    </row>
    <row r="82" spans="1:15" ht="21" x14ac:dyDescent="0.35">
      <c r="A82" s="10"/>
      <c r="B82" s="10"/>
      <c r="C82" s="112"/>
      <c r="D82" s="16" t="s">
        <v>139</v>
      </c>
      <c r="E82" s="17" t="s">
        <v>13</v>
      </c>
      <c r="F82" s="13">
        <v>54</v>
      </c>
      <c r="G82" s="48">
        <v>20</v>
      </c>
      <c r="H82" s="48">
        <v>1</v>
      </c>
      <c r="I82" s="48">
        <v>2</v>
      </c>
      <c r="J82" s="49"/>
      <c r="K82">
        <f>SUM(F71:F82)</f>
        <v>568</v>
      </c>
      <c r="L82">
        <f t="shared" ref="L82:O82" si="7">SUM(G71:G82)</f>
        <v>226</v>
      </c>
      <c r="M82">
        <f t="shared" si="7"/>
        <v>10</v>
      </c>
      <c r="N82">
        <f t="shared" si="7"/>
        <v>20</v>
      </c>
      <c r="O82">
        <f t="shared" si="7"/>
        <v>0</v>
      </c>
    </row>
    <row r="83" spans="1:15" ht="21" x14ac:dyDescent="0.35">
      <c r="A83" s="4" t="s">
        <v>592</v>
      </c>
      <c r="B83" s="4" t="s">
        <v>593</v>
      </c>
      <c r="C83" s="99">
        <v>838</v>
      </c>
      <c r="D83" s="16" t="s">
        <v>140</v>
      </c>
      <c r="E83" s="17" t="s">
        <v>17</v>
      </c>
      <c r="F83" s="12">
        <v>40</v>
      </c>
      <c r="G83" s="51">
        <v>14</v>
      </c>
      <c r="H83" s="51">
        <v>4</v>
      </c>
      <c r="I83" s="51">
        <v>3</v>
      </c>
      <c r="J83" s="50"/>
    </row>
    <row r="84" spans="1:15" ht="21" x14ac:dyDescent="0.35">
      <c r="A84" s="5"/>
      <c r="B84" s="5"/>
      <c r="C84" s="113"/>
      <c r="D84" s="16" t="s">
        <v>140</v>
      </c>
      <c r="E84" s="17" t="s">
        <v>2</v>
      </c>
      <c r="F84" s="12">
        <v>58</v>
      </c>
      <c r="G84" s="51">
        <v>10</v>
      </c>
      <c r="H84" s="51">
        <v>3</v>
      </c>
      <c r="I84" s="51">
        <v>1</v>
      </c>
      <c r="J84" s="50"/>
    </row>
    <row r="85" spans="1:15" ht="21" x14ac:dyDescent="0.35">
      <c r="A85" s="5"/>
      <c r="B85" s="5"/>
      <c r="C85" s="113"/>
      <c r="D85" s="16" t="s">
        <v>140</v>
      </c>
      <c r="E85" s="17" t="s">
        <v>3</v>
      </c>
      <c r="F85" s="12">
        <v>94</v>
      </c>
      <c r="G85" s="51">
        <v>23</v>
      </c>
      <c r="H85" s="50"/>
      <c r="I85" s="51">
        <v>2</v>
      </c>
      <c r="J85" s="50"/>
    </row>
    <row r="86" spans="1:15" ht="21" x14ac:dyDescent="0.35">
      <c r="A86" s="5"/>
      <c r="B86" s="5"/>
      <c r="C86" s="113"/>
      <c r="D86" s="16" t="s">
        <v>140</v>
      </c>
      <c r="E86" s="17" t="s">
        <v>4</v>
      </c>
      <c r="F86" s="12">
        <v>39</v>
      </c>
      <c r="G86" s="51">
        <v>5</v>
      </c>
      <c r="H86" s="50"/>
      <c r="I86" s="50"/>
      <c r="J86" s="50"/>
    </row>
    <row r="87" spans="1:15" ht="21" x14ac:dyDescent="0.35">
      <c r="A87" s="5"/>
      <c r="B87" s="5"/>
      <c r="C87" s="113"/>
      <c r="D87" s="16" t="s">
        <v>140</v>
      </c>
      <c r="E87" s="17" t="s">
        <v>5</v>
      </c>
      <c r="F87" s="12">
        <v>48</v>
      </c>
      <c r="G87" s="50"/>
      <c r="H87" s="50"/>
      <c r="I87" s="51">
        <v>2</v>
      </c>
      <c r="J87" s="50"/>
      <c r="K87">
        <f>SUM(F83:F87)</f>
        <v>279</v>
      </c>
      <c r="L87">
        <f t="shared" ref="L87:O87" si="8">SUM(G83:G87)</f>
        <v>52</v>
      </c>
      <c r="M87">
        <f t="shared" si="8"/>
        <v>7</v>
      </c>
      <c r="N87">
        <f t="shared" si="8"/>
        <v>8</v>
      </c>
      <c r="O87">
        <f t="shared" si="8"/>
        <v>0</v>
      </c>
    </row>
    <row r="88" spans="1:15" ht="21" x14ac:dyDescent="0.35">
      <c r="A88" s="9" t="s">
        <v>594</v>
      </c>
      <c r="B88" s="9" t="s">
        <v>375</v>
      </c>
      <c r="C88" s="97">
        <v>928</v>
      </c>
      <c r="D88" s="16" t="s">
        <v>81</v>
      </c>
      <c r="E88" s="17" t="s">
        <v>17</v>
      </c>
      <c r="F88" s="13">
        <v>89</v>
      </c>
      <c r="G88" s="48">
        <v>23</v>
      </c>
      <c r="H88" s="49"/>
      <c r="I88" s="48">
        <v>3</v>
      </c>
      <c r="J88" s="49"/>
    </row>
    <row r="89" spans="1:15" ht="21" x14ac:dyDescent="0.35">
      <c r="A89" s="10"/>
      <c r="B89" s="10"/>
      <c r="C89" s="112"/>
      <c r="D89" s="16" t="s">
        <v>81</v>
      </c>
      <c r="E89" s="17" t="s">
        <v>2</v>
      </c>
      <c r="F89" s="13">
        <v>44</v>
      </c>
      <c r="G89" s="48">
        <v>5</v>
      </c>
      <c r="H89" s="49"/>
      <c r="I89" s="48">
        <v>1</v>
      </c>
      <c r="J89" s="49"/>
    </row>
    <row r="90" spans="1:15" ht="21" x14ac:dyDescent="0.35">
      <c r="A90" s="10"/>
      <c r="B90" s="10"/>
      <c r="C90" s="112"/>
      <c r="D90" s="16" t="s">
        <v>81</v>
      </c>
      <c r="E90" s="17" t="s">
        <v>3</v>
      </c>
      <c r="F90" s="13">
        <v>95</v>
      </c>
      <c r="G90" s="48">
        <v>23</v>
      </c>
      <c r="H90" s="49"/>
      <c r="I90" s="48">
        <v>1</v>
      </c>
      <c r="J90" s="49"/>
    </row>
    <row r="91" spans="1:15" ht="21" x14ac:dyDescent="0.35">
      <c r="A91" s="10"/>
      <c r="B91" s="10"/>
      <c r="C91" s="112"/>
      <c r="D91" s="16" t="s">
        <v>81</v>
      </c>
      <c r="E91" s="17" t="s">
        <v>4</v>
      </c>
      <c r="F91" s="13">
        <v>54</v>
      </c>
      <c r="G91" s="48">
        <v>23</v>
      </c>
      <c r="H91" s="48">
        <v>8</v>
      </c>
      <c r="I91" s="48">
        <v>2</v>
      </c>
      <c r="J91" s="48">
        <v>1</v>
      </c>
    </row>
    <row r="92" spans="1:15" ht="21" x14ac:dyDescent="0.35">
      <c r="A92" s="10"/>
      <c r="B92" s="10"/>
      <c r="C92" s="112"/>
      <c r="D92" s="16" t="s">
        <v>81</v>
      </c>
      <c r="E92" s="17" t="s">
        <v>5</v>
      </c>
      <c r="F92" s="13">
        <v>87</v>
      </c>
      <c r="G92" s="48">
        <v>23</v>
      </c>
      <c r="H92" s="48">
        <v>1</v>
      </c>
      <c r="I92" s="48">
        <v>4</v>
      </c>
      <c r="J92" s="49"/>
      <c r="K92">
        <f>SUM(F88:F92)</f>
        <v>369</v>
      </c>
      <c r="L92">
        <f t="shared" ref="L92:O92" si="9">SUM(G88:G92)</f>
        <v>97</v>
      </c>
      <c r="M92">
        <f t="shared" si="9"/>
        <v>9</v>
      </c>
      <c r="N92">
        <f t="shared" si="9"/>
        <v>11</v>
      </c>
      <c r="O92">
        <f t="shared" si="9"/>
        <v>1</v>
      </c>
    </row>
    <row r="93" spans="1:15" ht="21" x14ac:dyDescent="0.35">
      <c r="A93" s="4" t="s">
        <v>595</v>
      </c>
      <c r="B93" s="4" t="s">
        <v>596</v>
      </c>
      <c r="C93" s="99">
        <v>1287</v>
      </c>
      <c r="D93" s="16" t="s">
        <v>141</v>
      </c>
      <c r="E93" s="17" t="s">
        <v>17</v>
      </c>
      <c r="F93" s="12">
        <v>123</v>
      </c>
      <c r="G93" s="51">
        <v>19</v>
      </c>
      <c r="H93" s="50"/>
      <c r="I93" s="51">
        <v>2</v>
      </c>
      <c r="J93" s="51">
        <v>1</v>
      </c>
    </row>
    <row r="94" spans="1:15" ht="21" x14ac:dyDescent="0.35">
      <c r="A94" s="5"/>
      <c r="B94" s="5"/>
      <c r="C94" s="113"/>
      <c r="D94" s="16" t="s">
        <v>141</v>
      </c>
      <c r="E94" s="17" t="s">
        <v>2</v>
      </c>
      <c r="F94" s="12">
        <v>55</v>
      </c>
      <c r="G94" s="51">
        <v>9</v>
      </c>
      <c r="H94" s="51">
        <v>9</v>
      </c>
      <c r="I94" s="51">
        <v>3</v>
      </c>
      <c r="J94" s="50"/>
    </row>
    <row r="95" spans="1:15" ht="21" x14ac:dyDescent="0.35">
      <c r="A95" s="5"/>
      <c r="B95" s="5"/>
      <c r="C95" s="113"/>
      <c r="D95" s="16" t="s">
        <v>141</v>
      </c>
      <c r="E95" s="17" t="s">
        <v>3</v>
      </c>
      <c r="F95" s="12">
        <v>41</v>
      </c>
      <c r="G95" s="51">
        <v>2</v>
      </c>
      <c r="H95" s="50"/>
      <c r="I95" s="51">
        <v>1</v>
      </c>
      <c r="J95" s="50"/>
    </row>
    <row r="96" spans="1:15" ht="21" x14ac:dyDescent="0.35">
      <c r="A96" s="5"/>
      <c r="B96" s="5"/>
      <c r="C96" s="113"/>
      <c r="D96" s="16" t="s">
        <v>141</v>
      </c>
      <c r="E96" s="17" t="s">
        <v>4</v>
      </c>
      <c r="F96" s="12">
        <v>49</v>
      </c>
      <c r="G96" s="51">
        <v>12</v>
      </c>
      <c r="H96" s="50"/>
      <c r="I96" s="51">
        <v>1</v>
      </c>
      <c r="J96" s="50"/>
    </row>
    <row r="97" spans="1:15" ht="21" x14ac:dyDescent="0.35">
      <c r="A97" s="5"/>
      <c r="B97" s="5"/>
      <c r="C97" s="113"/>
      <c r="D97" s="16" t="s">
        <v>141</v>
      </c>
      <c r="E97" s="17" t="s">
        <v>5</v>
      </c>
      <c r="F97" s="12">
        <v>48</v>
      </c>
      <c r="G97" s="51">
        <v>13</v>
      </c>
      <c r="H97" s="51">
        <v>4</v>
      </c>
      <c r="I97" s="51">
        <v>3</v>
      </c>
      <c r="J97" s="50"/>
    </row>
    <row r="98" spans="1:15" ht="21" x14ac:dyDescent="0.35">
      <c r="A98" s="5"/>
      <c r="B98" s="5"/>
      <c r="C98" s="113"/>
      <c r="D98" s="16" t="s">
        <v>141</v>
      </c>
      <c r="E98" s="17" t="s">
        <v>6</v>
      </c>
      <c r="F98" s="12">
        <v>159</v>
      </c>
      <c r="G98" s="51">
        <v>87</v>
      </c>
      <c r="H98" s="50"/>
      <c r="I98" s="51">
        <v>7</v>
      </c>
      <c r="J98" s="50"/>
      <c r="K98">
        <f>SUM(F93:F98)</f>
        <v>475</v>
      </c>
      <c r="L98">
        <f t="shared" ref="L98:O98" si="10">SUM(G93:G98)</f>
        <v>142</v>
      </c>
      <c r="M98">
        <f t="shared" si="10"/>
        <v>13</v>
      </c>
      <c r="N98">
        <f t="shared" si="10"/>
        <v>17</v>
      </c>
      <c r="O98">
        <f t="shared" si="10"/>
        <v>1</v>
      </c>
    </row>
    <row r="99" spans="1:15" ht="21" x14ac:dyDescent="0.35">
      <c r="A99" s="9" t="s">
        <v>597</v>
      </c>
      <c r="B99" s="9" t="s">
        <v>598</v>
      </c>
      <c r="C99" s="97">
        <v>3850</v>
      </c>
      <c r="D99" s="16" t="s">
        <v>142</v>
      </c>
      <c r="E99" s="17" t="s">
        <v>17</v>
      </c>
      <c r="F99" s="13">
        <v>123</v>
      </c>
      <c r="G99" s="48">
        <v>29</v>
      </c>
      <c r="H99" s="48">
        <v>26</v>
      </c>
      <c r="I99" s="48">
        <v>13</v>
      </c>
      <c r="J99" s="48">
        <v>1</v>
      </c>
    </row>
    <row r="100" spans="1:15" ht="21" x14ac:dyDescent="0.35">
      <c r="A100" s="10"/>
      <c r="B100" s="10"/>
      <c r="C100" s="112"/>
      <c r="D100" s="16" t="s">
        <v>142</v>
      </c>
      <c r="E100" s="17" t="s">
        <v>2</v>
      </c>
      <c r="F100" s="13">
        <v>164</v>
      </c>
      <c r="G100" s="48">
        <v>34</v>
      </c>
      <c r="H100" s="48">
        <v>8</v>
      </c>
      <c r="I100" s="48">
        <v>5</v>
      </c>
      <c r="J100" s="49"/>
    </row>
    <row r="101" spans="1:15" ht="21" x14ac:dyDescent="0.35">
      <c r="A101" s="10"/>
      <c r="B101" s="10"/>
      <c r="C101" s="112"/>
      <c r="D101" s="16" t="s">
        <v>142</v>
      </c>
      <c r="E101" s="17" t="s">
        <v>3</v>
      </c>
      <c r="F101" s="13">
        <v>169</v>
      </c>
      <c r="G101" s="48">
        <v>34</v>
      </c>
      <c r="H101" s="48">
        <v>2</v>
      </c>
      <c r="I101" s="48">
        <v>5</v>
      </c>
      <c r="J101" s="48">
        <v>1</v>
      </c>
    </row>
    <row r="102" spans="1:15" ht="21" x14ac:dyDescent="0.35">
      <c r="A102" s="10"/>
      <c r="B102" s="10"/>
      <c r="C102" s="112"/>
      <c r="D102" s="16" t="s">
        <v>142</v>
      </c>
      <c r="E102" s="17" t="s">
        <v>4</v>
      </c>
      <c r="F102" s="13">
        <v>62</v>
      </c>
      <c r="G102" s="48">
        <v>18</v>
      </c>
      <c r="H102" s="48">
        <v>4</v>
      </c>
      <c r="I102" s="48">
        <v>4</v>
      </c>
      <c r="J102" s="48">
        <v>1</v>
      </c>
    </row>
    <row r="103" spans="1:15" ht="21" x14ac:dyDescent="0.35">
      <c r="A103" s="10"/>
      <c r="B103" s="10"/>
      <c r="C103" s="112"/>
      <c r="D103" s="16" t="s">
        <v>142</v>
      </c>
      <c r="E103" s="17" t="s">
        <v>5</v>
      </c>
      <c r="F103" s="13">
        <v>173</v>
      </c>
      <c r="G103" s="48">
        <v>20</v>
      </c>
      <c r="H103" s="48">
        <v>3</v>
      </c>
      <c r="I103" s="48">
        <v>4</v>
      </c>
      <c r="J103" s="49"/>
    </row>
    <row r="104" spans="1:15" ht="21" x14ac:dyDescent="0.35">
      <c r="A104" s="10"/>
      <c r="B104" s="10"/>
      <c r="C104" s="112"/>
      <c r="D104" s="16" t="s">
        <v>142</v>
      </c>
      <c r="E104" s="17" t="s">
        <v>6</v>
      </c>
      <c r="F104" s="13">
        <v>166</v>
      </c>
      <c r="G104" s="48">
        <v>11</v>
      </c>
      <c r="H104" s="48">
        <v>9</v>
      </c>
      <c r="I104" s="48">
        <v>7</v>
      </c>
      <c r="J104" s="49"/>
    </row>
    <row r="105" spans="1:15" ht="21" x14ac:dyDescent="0.35">
      <c r="A105" s="10"/>
      <c r="B105" s="10"/>
      <c r="C105" s="112"/>
      <c r="D105" s="16" t="s">
        <v>142</v>
      </c>
      <c r="E105" s="17" t="s">
        <v>7</v>
      </c>
      <c r="F105" s="13">
        <v>91</v>
      </c>
      <c r="G105" s="48">
        <v>31</v>
      </c>
      <c r="H105" s="48">
        <v>14</v>
      </c>
      <c r="I105" s="48">
        <v>3</v>
      </c>
      <c r="J105" s="49"/>
    </row>
    <row r="106" spans="1:15" ht="21" x14ac:dyDescent="0.35">
      <c r="A106" s="10"/>
      <c r="B106" s="10"/>
      <c r="C106" s="112"/>
      <c r="D106" s="16" t="s">
        <v>142</v>
      </c>
      <c r="E106" s="17" t="s">
        <v>8</v>
      </c>
      <c r="F106" s="13">
        <v>100</v>
      </c>
      <c r="G106" s="48">
        <v>16</v>
      </c>
      <c r="H106" s="48">
        <v>2</v>
      </c>
      <c r="I106" s="48">
        <v>2</v>
      </c>
      <c r="J106" s="49"/>
    </row>
    <row r="107" spans="1:15" ht="21" x14ac:dyDescent="0.35">
      <c r="A107" s="10"/>
      <c r="B107" s="10"/>
      <c r="C107" s="112"/>
      <c r="D107" s="16" t="s">
        <v>142</v>
      </c>
      <c r="E107" s="17" t="s">
        <v>9</v>
      </c>
      <c r="F107" s="13">
        <v>93</v>
      </c>
      <c r="G107" s="48">
        <v>28</v>
      </c>
      <c r="H107" s="48">
        <v>8</v>
      </c>
      <c r="I107" s="48">
        <v>5</v>
      </c>
      <c r="J107" s="49"/>
    </row>
    <row r="108" spans="1:15" ht="21" x14ac:dyDescent="0.35">
      <c r="A108" s="10"/>
      <c r="B108" s="10"/>
      <c r="C108" s="112"/>
      <c r="D108" s="16" t="s">
        <v>142</v>
      </c>
      <c r="E108" s="17" t="s">
        <v>11</v>
      </c>
      <c r="F108" s="13">
        <v>39</v>
      </c>
      <c r="G108" s="48">
        <v>5</v>
      </c>
      <c r="H108" s="49"/>
      <c r="I108" s="48">
        <v>2</v>
      </c>
      <c r="J108" s="49"/>
    </row>
    <row r="109" spans="1:15" ht="21" x14ac:dyDescent="0.35">
      <c r="A109" s="10"/>
      <c r="B109" s="10"/>
      <c r="C109" s="112"/>
      <c r="D109" s="16" t="s">
        <v>142</v>
      </c>
      <c r="E109" s="17" t="s">
        <v>12</v>
      </c>
      <c r="F109" s="13">
        <v>99</v>
      </c>
      <c r="G109" s="48">
        <v>11</v>
      </c>
      <c r="H109" s="48">
        <v>13</v>
      </c>
      <c r="I109" s="48">
        <v>3</v>
      </c>
      <c r="J109" s="49"/>
      <c r="K109">
        <f>SUM(F99:F109)</f>
        <v>1279</v>
      </c>
      <c r="L109">
        <f>SUM(G99:G109)</f>
        <v>237</v>
      </c>
      <c r="M109">
        <f>SUM(H99:H109)</f>
        <v>89</v>
      </c>
      <c r="N109">
        <f>SUM(I99:I109)</f>
        <v>53</v>
      </c>
      <c r="O109">
        <f>SUM(J99:J109)</f>
        <v>3</v>
      </c>
    </row>
    <row r="110" spans="1:15" ht="21" x14ac:dyDescent="0.35">
      <c r="A110" s="4" t="s">
        <v>599</v>
      </c>
      <c r="B110" s="4" t="s">
        <v>600</v>
      </c>
      <c r="C110" s="99">
        <v>2444</v>
      </c>
      <c r="D110" s="16" t="s">
        <v>143</v>
      </c>
      <c r="E110" s="17" t="s">
        <v>17</v>
      </c>
      <c r="F110" s="12">
        <v>59</v>
      </c>
      <c r="G110" s="51">
        <v>25</v>
      </c>
      <c r="H110" s="51">
        <v>13</v>
      </c>
      <c r="I110" s="51">
        <v>3</v>
      </c>
      <c r="J110" s="50"/>
    </row>
    <row r="111" spans="1:15" ht="21" x14ac:dyDescent="0.35">
      <c r="A111" s="5"/>
      <c r="B111" s="5"/>
      <c r="C111" s="113"/>
      <c r="D111" s="16" t="s">
        <v>143</v>
      </c>
      <c r="E111" s="17" t="s">
        <v>2</v>
      </c>
      <c r="F111" s="12">
        <v>42</v>
      </c>
      <c r="G111" s="51">
        <v>27</v>
      </c>
      <c r="H111" s="51">
        <v>5</v>
      </c>
      <c r="I111" s="51">
        <v>3</v>
      </c>
      <c r="J111" s="50"/>
    </row>
    <row r="112" spans="1:15" ht="21" x14ac:dyDescent="0.35">
      <c r="A112" s="5"/>
      <c r="B112" s="5"/>
      <c r="C112" s="113"/>
      <c r="D112" s="16" t="s">
        <v>143</v>
      </c>
      <c r="E112" s="17" t="s">
        <v>3</v>
      </c>
      <c r="F112" s="12">
        <v>45</v>
      </c>
      <c r="G112" s="51">
        <v>24</v>
      </c>
      <c r="H112" s="51">
        <v>4</v>
      </c>
      <c r="I112" s="50"/>
      <c r="J112" s="50"/>
    </row>
    <row r="113" spans="1:15" ht="21" x14ac:dyDescent="0.35">
      <c r="A113" s="5"/>
      <c r="B113" s="5"/>
      <c r="C113" s="113"/>
      <c r="D113" s="16" t="s">
        <v>143</v>
      </c>
      <c r="E113" s="17" t="s">
        <v>4</v>
      </c>
      <c r="F113" s="12">
        <v>74</v>
      </c>
      <c r="G113" s="51">
        <v>42</v>
      </c>
      <c r="H113" s="50"/>
      <c r="I113" s="51">
        <v>3</v>
      </c>
      <c r="J113" s="50"/>
    </row>
    <row r="114" spans="1:15" ht="21" x14ac:dyDescent="0.35">
      <c r="A114" s="5"/>
      <c r="B114" s="5"/>
      <c r="C114" s="113"/>
      <c r="D114" s="16" t="s">
        <v>143</v>
      </c>
      <c r="E114" s="17" t="s">
        <v>5</v>
      </c>
      <c r="F114" s="12">
        <v>104</v>
      </c>
      <c r="G114" s="51">
        <v>38</v>
      </c>
      <c r="H114" s="51">
        <v>2</v>
      </c>
      <c r="I114" s="51">
        <v>2</v>
      </c>
      <c r="J114" s="50"/>
    </row>
    <row r="115" spans="1:15" ht="21" x14ac:dyDescent="0.35">
      <c r="A115" s="5"/>
      <c r="B115" s="5"/>
      <c r="C115" s="113"/>
      <c r="D115" s="16" t="s">
        <v>143</v>
      </c>
      <c r="E115" s="17" t="s">
        <v>6</v>
      </c>
      <c r="F115" s="12">
        <v>42</v>
      </c>
      <c r="G115" s="51">
        <v>14</v>
      </c>
      <c r="H115" s="50"/>
      <c r="I115" s="50"/>
      <c r="J115" s="50"/>
    </row>
    <row r="116" spans="1:15" ht="21" x14ac:dyDescent="0.35">
      <c r="A116" s="5"/>
      <c r="B116" s="5"/>
      <c r="C116" s="113"/>
      <c r="D116" s="16" t="s">
        <v>143</v>
      </c>
      <c r="E116" s="17" t="s">
        <v>7</v>
      </c>
      <c r="F116" s="12">
        <v>99</v>
      </c>
      <c r="G116" s="51">
        <v>26</v>
      </c>
      <c r="H116" s="51">
        <v>5</v>
      </c>
      <c r="I116" s="51">
        <v>6</v>
      </c>
      <c r="J116" s="50"/>
    </row>
    <row r="117" spans="1:15" ht="21" x14ac:dyDescent="0.35">
      <c r="A117" s="5"/>
      <c r="B117" s="5"/>
      <c r="C117" s="113"/>
      <c r="D117" s="16" t="s">
        <v>143</v>
      </c>
      <c r="E117" s="17" t="s">
        <v>8</v>
      </c>
      <c r="F117" s="12">
        <v>95</v>
      </c>
      <c r="G117" s="51">
        <v>13</v>
      </c>
      <c r="H117" s="51">
        <v>2</v>
      </c>
      <c r="I117" s="51">
        <v>2</v>
      </c>
      <c r="J117" s="50"/>
    </row>
    <row r="118" spans="1:15" ht="21" x14ac:dyDescent="0.35">
      <c r="A118" s="5"/>
      <c r="B118" s="5"/>
      <c r="C118" s="113"/>
      <c r="D118" s="16" t="s">
        <v>143</v>
      </c>
      <c r="E118" s="17" t="s">
        <v>9</v>
      </c>
      <c r="F118" s="12">
        <v>95</v>
      </c>
      <c r="G118" s="51">
        <v>14</v>
      </c>
      <c r="H118" s="51">
        <v>3</v>
      </c>
      <c r="I118" s="51">
        <v>2</v>
      </c>
      <c r="J118" s="50"/>
    </row>
    <row r="119" spans="1:15" ht="21" x14ac:dyDescent="0.35">
      <c r="A119" s="5"/>
      <c r="B119" s="5"/>
      <c r="C119" s="113"/>
      <c r="D119" s="16" t="s">
        <v>143</v>
      </c>
      <c r="E119" s="17" t="s">
        <v>11</v>
      </c>
      <c r="F119" s="12">
        <v>79</v>
      </c>
      <c r="G119" s="51">
        <v>9</v>
      </c>
      <c r="H119" s="50"/>
      <c r="I119" s="51">
        <v>2</v>
      </c>
      <c r="J119" s="50"/>
      <c r="K119">
        <f>SUM(F110:F119)</f>
        <v>734</v>
      </c>
      <c r="L119">
        <f t="shared" ref="L119:O119" si="11">SUM(G110:G119)</f>
        <v>232</v>
      </c>
      <c r="M119">
        <f t="shared" si="11"/>
        <v>34</v>
      </c>
      <c r="N119">
        <f t="shared" si="11"/>
        <v>23</v>
      </c>
      <c r="O119">
        <f t="shared" si="11"/>
        <v>0</v>
      </c>
    </row>
    <row r="120" spans="1:15" ht="21" x14ac:dyDescent="0.35">
      <c r="A120" s="9" t="s">
        <v>601</v>
      </c>
      <c r="B120" s="9" t="s">
        <v>602</v>
      </c>
      <c r="C120" s="97">
        <v>1461</v>
      </c>
      <c r="D120" s="16" t="s">
        <v>144</v>
      </c>
      <c r="E120" s="17" t="s">
        <v>17</v>
      </c>
      <c r="F120" s="13">
        <v>72</v>
      </c>
      <c r="G120" s="48">
        <v>39</v>
      </c>
      <c r="H120" s="49"/>
      <c r="I120" s="48">
        <v>6</v>
      </c>
      <c r="J120" s="49"/>
    </row>
    <row r="121" spans="1:15" ht="21" x14ac:dyDescent="0.35">
      <c r="A121" s="10"/>
      <c r="B121" s="10"/>
      <c r="C121" s="112"/>
      <c r="D121" s="16" t="s">
        <v>144</v>
      </c>
      <c r="E121" s="17" t="s">
        <v>2</v>
      </c>
      <c r="F121" s="13">
        <v>41</v>
      </c>
      <c r="G121" s="48">
        <v>18</v>
      </c>
      <c r="H121" s="48">
        <v>1</v>
      </c>
      <c r="I121" s="48">
        <v>1</v>
      </c>
      <c r="J121" s="49"/>
    </row>
    <row r="122" spans="1:15" ht="21" x14ac:dyDescent="0.35">
      <c r="A122" s="10"/>
      <c r="B122" s="10"/>
      <c r="C122" s="112"/>
      <c r="D122" s="16" t="s">
        <v>144</v>
      </c>
      <c r="E122" s="17" t="s">
        <v>3</v>
      </c>
      <c r="F122" s="13">
        <v>62</v>
      </c>
      <c r="G122" s="48">
        <v>20</v>
      </c>
      <c r="H122" s="48">
        <v>2</v>
      </c>
      <c r="I122" s="48">
        <v>6</v>
      </c>
      <c r="J122" s="49"/>
    </row>
    <row r="123" spans="1:15" ht="21" x14ac:dyDescent="0.35">
      <c r="A123" s="10"/>
      <c r="B123" s="10"/>
      <c r="C123" s="112"/>
      <c r="D123" s="16" t="s">
        <v>144</v>
      </c>
      <c r="E123" s="17" t="s">
        <v>4</v>
      </c>
      <c r="F123" s="13">
        <v>60</v>
      </c>
      <c r="G123" s="48">
        <v>34</v>
      </c>
      <c r="H123" s="48">
        <v>1</v>
      </c>
      <c r="I123" s="48">
        <v>4</v>
      </c>
      <c r="J123" s="48">
        <v>1</v>
      </c>
    </row>
    <row r="124" spans="1:15" ht="21" x14ac:dyDescent="0.35">
      <c r="A124" s="10"/>
      <c r="B124" s="10"/>
      <c r="C124" s="112"/>
      <c r="D124" s="16" t="s">
        <v>144</v>
      </c>
      <c r="E124" s="17" t="s">
        <v>5</v>
      </c>
      <c r="F124" s="13">
        <v>62</v>
      </c>
      <c r="G124" s="48">
        <v>15</v>
      </c>
      <c r="H124" s="48">
        <v>3</v>
      </c>
      <c r="I124" s="48">
        <v>10</v>
      </c>
      <c r="J124" s="48">
        <v>1</v>
      </c>
    </row>
    <row r="125" spans="1:15" ht="21" x14ac:dyDescent="0.35">
      <c r="A125" s="10"/>
      <c r="B125" s="10"/>
      <c r="C125" s="112"/>
      <c r="D125" s="16" t="s">
        <v>144</v>
      </c>
      <c r="E125" s="17" t="s">
        <v>6</v>
      </c>
      <c r="F125" s="13">
        <v>100</v>
      </c>
      <c r="G125" s="48">
        <v>3</v>
      </c>
      <c r="H125" s="48">
        <v>8</v>
      </c>
      <c r="I125" s="49"/>
      <c r="J125" s="48">
        <v>1</v>
      </c>
    </row>
    <row r="126" spans="1:15" ht="21" x14ac:dyDescent="0.35">
      <c r="A126" s="10"/>
      <c r="B126" s="10"/>
      <c r="C126" s="112"/>
      <c r="D126" s="16" t="s">
        <v>144</v>
      </c>
      <c r="E126" s="17" t="s">
        <v>7</v>
      </c>
      <c r="F126" s="13">
        <v>44</v>
      </c>
      <c r="G126" s="48">
        <v>16</v>
      </c>
      <c r="H126" s="49"/>
      <c r="I126" s="48">
        <v>3</v>
      </c>
      <c r="J126" s="49"/>
      <c r="K126">
        <f>SUM(F120:F126)</f>
        <v>441</v>
      </c>
      <c r="L126">
        <f t="shared" ref="L126:O126" si="12">SUM(G120:G126)</f>
        <v>145</v>
      </c>
      <c r="M126">
        <f t="shared" si="12"/>
        <v>15</v>
      </c>
      <c r="N126">
        <f t="shared" si="12"/>
        <v>30</v>
      </c>
      <c r="O126">
        <f t="shared" si="12"/>
        <v>3</v>
      </c>
    </row>
    <row r="127" spans="1:15" ht="21" x14ac:dyDescent="0.35">
      <c r="A127" s="4" t="s">
        <v>603</v>
      </c>
      <c r="B127" s="4" t="s">
        <v>604</v>
      </c>
      <c r="C127" s="99">
        <v>1206</v>
      </c>
      <c r="D127" s="16" t="s">
        <v>145</v>
      </c>
      <c r="E127" s="17" t="s">
        <v>17</v>
      </c>
      <c r="F127" s="12">
        <v>87</v>
      </c>
      <c r="G127" s="51">
        <v>23</v>
      </c>
      <c r="H127" s="51">
        <v>3</v>
      </c>
      <c r="I127" s="51">
        <v>3</v>
      </c>
      <c r="J127" s="50"/>
    </row>
    <row r="128" spans="1:15" ht="21" x14ac:dyDescent="0.35">
      <c r="A128" s="5"/>
      <c r="B128" s="5"/>
      <c r="C128" s="113"/>
      <c r="D128" s="16" t="s">
        <v>145</v>
      </c>
      <c r="E128" s="17" t="s">
        <v>2</v>
      </c>
      <c r="F128" s="12">
        <v>54</v>
      </c>
      <c r="G128" s="51">
        <v>25</v>
      </c>
      <c r="H128" s="51">
        <v>1</v>
      </c>
      <c r="I128" s="51">
        <v>6</v>
      </c>
      <c r="J128" s="50"/>
    </row>
    <row r="129" spans="1:15" ht="21" x14ac:dyDescent="0.35">
      <c r="A129" s="5"/>
      <c r="B129" s="5"/>
      <c r="C129" s="113"/>
      <c r="D129" s="16" t="s">
        <v>145</v>
      </c>
      <c r="E129" s="17" t="s">
        <v>3</v>
      </c>
      <c r="F129" s="12">
        <v>73</v>
      </c>
      <c r="G129" s="51">
        <v>21</v>
      </c>
      <c r="H129" s="51">
        <v>4</v>
      </c>
      <c r="I129" s="51">
        <v>6</v>
      </c>
      <c r="J129" s="50"/>
    </row>
    <row r="130" spans="1:15" ht="21" x14ac:dyDescent="0.35">
      <c r="A130" s="5"/>
      <c r="B130" s="5"/>
      <c r="C130" s="113"/>
      <c r="D130" s="16" t="s">
        <v>145</v>
      </c>
      <c r="E130" s="17" t="s">
        <v>4</v>
      </c>
      <c r="F130" s="12">
        <v>121</v>
      </c>
      <c r="G130" s="51">
        <v>47</v>
      </c>
      <c r="H130" s="51">
        <v>5</v>
      </c>
      <c r="I130" s="51">
        <v>2</v>
      </c>
      <c r="J130" s="50"/>
    </row>
    <row r="131" spans="1:15" ht="21" x14ac:dyDescent="0.35">
      <c r="A131" s="5"/>
      <c r="B131" s="5"/>
      <c r="C131" s="113"/>
      <c r="D131" s="16" t="s">
        <v>145</v>
      </c>
      <c r="E131" s="17" t="s">
        <v>5</v>
      </c>
      <c r="F131" s="12">
        <v>122</v>
      </c>
      <c r="G131" s="51">
        <v>69</v>
      </c>
      <c r="H131" s="51">
        <v>2</v>
      </c>
      <c r="I131" s="51">
        <v>12</v>
      </c>
      <c r="J131" s="50"/>
    </row>
    <row r="132" spans="1:15" ht="21" x14ac:dyDescent="0.35">
      <c r="A132" s="5"/>
      <c r="B132" s="5"/>
      <c r="C132" s="113"/>
      <c r="D132" s="16" t="s">
        <v>145</v>
      </c>
      <c r="E132" s="17" t="s">
        <v>6</v>
      </c>
      <c r="F132" s="12">
        <v>116</v>
      </c>
      <c r="G132" s="51">
        <v>34</v>
      </c>
      <c r="H132" s="51">
        <v>1</v>
      </c>
      <c r="I132" s="51">
        <v>5</v>
      </c>
      <c r="J132" s="50"/>
      <c r="K132">
        <f>SUM(F127:F132)</f>
        <v>573</v>
      </c>
      <c r="L132">
        <f t="shared" ref="L132:O132" si="13">SUM(G127:G132)</f>
        <v>219</v>
      </c>
      <c r="M132">
        <f t="shared" si="13"/>
        <v>16</v>
      </c>
      <c r="N132">
        <f t="shared" si="13"/>
        <v>34</v>
      </c>
      <c r="O132">
        <f t="shared" si="13"/>
        <v>0</v>
      </c>
    </row>
    <row r="133" spans="1:15" ht="20.25" customHeight="1" x14ac:dyDescent="0.2">
      <c r="A133" s="115"/>
      <c r="B133" s="117" t="s">
        <v>723</v>
      </c>
      <c r="C133" s="116">
        <f>SUM(C5:C127)</f>
        <v>25769</v>
      </c>
      <c r="D133" s="313" t="s">
        <v>231</v>
      </c>
      <c r="E133" s="314"/>
      <c r="F133" s="52">
        <f>SUM(F5:F132)</f>
        <v>9006</v>
      </c>
      <c r="G133" s="52">
        <f>SUM(G5:G132)</f>
        <v>2928</v>
      </c>
      <c r="H133" s="52">
        <f>SUM(H5:H132)</f>
        <v>375</v>
      </c>
      <c r="I133" s="52">
        <f>SUM(I5:I132)</f>
        <v>422</v>
      </c>
      <c r="J133" s="52">
        <f>SUM(J5:J132)</f>
        <v>11</v>
      </c>
    </row>
    <row r="134" spans="1:15" x14ac:dyDescent="0.2">
      <c r="A134" s="311" t="s">
        <v>737</v>
      </c>
      <c r="B134" s="312"/>
      <c r="C134" s="116">
        <f>SUM(C133,F133,G133,H133,I133,J133)</f>
        <v>38511</v>
      </c>
    </row>
  </sheetData>
  <autoFilter ref="A4:O134"/>
  <mergeCells count="7">
    <mergeCell ref="A134:B134"/>
    <mergeCell ref="D133:E133"/>
    <mergeCell ref="D1:J1"/>
    <mergeCell ref="D2:J2"/>
    <mergeCell ref="A1:C1"/>
    <mergeCell ref="A2:C2"/>
    <mergeCell ref="F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61" workbookViewId="0">
      <selection activeCell="B72" sqref="B72"/>
    </sheetView>
  </sheetViews>
  <sheetFormatPr defaultRowHeight="21" x14ac:dyDescent="0.35"/>
  <cols>
    <col min="1" max="1" width="11.5703125" style="2" customWidth="1"/>
    <col min="2" max="2" width="14.5703125" style="2" customWidth="1"/>
    <col min="3" max="3" width="24.5703125" style="95" customWidth="1"/>
    <col min="4" max="4" width="16" style="2" customWidth="1"/>
    <col min="5" max="5" width="9.140625" style="22"/>
    <col min="6" max="6" width="14.28515625" style="22" customWidth="1"/>
    <col min="7" max="7" width="11.28515625" style="22" customWidth="1"/>
    <col min="8" max="8" width="12.85546875" style="22" customWidth="1"/>
    <col min="9" max="9" width="21.140625" style="22" customWidth="1"/>
    <col min="10" max="10" width="13.42578125" style="22" customWidth="1"/>
    <col min="11" max="16384" width="9.140625" style="2"/>
  </cols>
  <sheetData>
    <row r="1" spans="1:15" x14ac:dyDescent="0.35">
      <c r="A1" s="302" t="s">
        <v>738</v>
      </c>
      <c r="B1" s="302"/>
      <c r="C1" s="302"/>
      <c r="D1" s="298" t="s">
        <v>243</v>
      </c>
      <c r="E1" s="298"/>
      <c r="F1" s="298"/>
      <c r="G1" s="298"/>
      <c r="H1" s="298"/>
      <c r="I1" s="298"/>
      <c r="J1" s="298"/>
    </row>
    <row r="2" spans="1:15" x14ac:dyDescent="0.35">
      <c r="A2" s="302" t="s">
        <v>720</v>
      </c>
      <c r="B2" s="302"/>
      <c r="C2" s="302"/>
      <c r="D2" s="298" t="s">
        <v>230</v>
      </c>
      <c r="E2" s="298"/>
      <c r="F2" s="298"/>
      <c r="G2" s="298"/>
      <c r="H2" s="298"/>
      <c r="I2" s="298"/>
      <c r="J2" s="298"/>
    </row>
    <row r="3" spans="1:15" x14ac:dyDescent="0.35">
      <c r="A3" s="91"/>
      <c r="B3" s="91"/>
      <c r="C3" s="110"/>
      <c r="D3" s="44"/>
      <c r="E3" s="44"/>
      <c r="F3" s="310" t="s">
        <v>718</v>
      </c>
      <c r="G3" s="310"/>
      <c r="H3" s="310"/>
      <c r="I3" s="310"/>
      <c r="J3" s="310"/>
    </row>
    <row r="4" spans="1:15" x14ac:dyDescent="0.35">
      <c r="A4" s="86" t="s">
        <v>716</v>
      </c>
      <c r="B4" s="86" t="s">
        <v>256</v>
      </c>
      <c r="C4" s="87" t="s">
        <v>717</v>
      </c>
      <c r="D4" s="18" t="s">
        <v>223</v>
      </c>
      <c r="E4" s="19" t="s">
        <v>222</v>
      </c>
      <c r="F4" s="19" t="s">
        <v>218</v>
      </c>
      <c r="G4" s="19" t="s">
        <v>219</v>
      </c>
      <c r="H4" s="19" t="s">
        <v>220</v>
      </c>
      <c r="I4" s="19" t="s">
        <v>242</v>
      </c>
      <c r="J4" s="19" t="s">
        <v>221</v>
      </c>
    </row>
    <row r="5" spans="1:15" x14ac:dyDescent="0.35">
      <c r="A5" s="9" t="s">
        <v>605</v>
      </c>
      <c r="B5" s="9" t="s">
        <v>606</v>
      </c>
      <c r="C5" s="97">
        <v>5546</v>
      </c>
      <c r="D5" s="16" t="s">
        <v>146</v>
      </c>
      <c r="E5" s="17" t="s">
        <v>0</v>
      </c>
      <c r="F5" s="13"/>
      <c r="G5" s="13">
        <v>4</v>
      </c>
      <c r="H5" s="13"/>
      <c r="I5" s="15"/>
      <c r="J5" s="15"/>
    </row>
    <row r="6" spans="1:15" x14ac:dyDescent="0.35">
      <c r="A6" s="74"/>
      <c r="B6" s="74"/>
      <c r="C6" s="98"/>
      <c r="D6" s="16" t="s">
        <v>146</v>
      </c>
      <c r="E6" s="17" t="s">
        <v>17</v>
      </c>
      <c r="F6" s="13">
        <v>40</v>
      </c>
      <c r="G6" s="13">
        <v>10</v>
      </c>
      <c r="H6" s="13">
        <v>1</v>
      </c>
      <c r="I6" s="13">
        <v>1</v>
      </c>
      <c r="J6" s="15"/>
    </row>
    <row r="7" spans="1:15" x14ac:dyDescent="0.35">
      <c r="A7" s="74"/>
      <c r="B7" s="74"/>
      <c r="C7" s="98"/>
      <c r="D7" s="16" t="s">
        <v>146</v>
      </c>
      <c r="E7" s="17" t="s">
        <v>2</v>
      </c>
      <c r="F7" s="13">
        <v>170</v>
      </c>
      <c r="G7" s="13">
        <v>46</v>
      </c>
      <c r="H7" s="13">
        <v>7</v>
      </c>
      <c r="I7" s="13">
        <v>5</v>
      </c>
      <c r="J7" s="15"/>
    </row>
    <row r="8" spans="1:15" x14ac:dyDescent="0.35">
      <c r="A8" s="74"/>
      <c r="B8" s="74"/>
      <c r="C8" s="98"/>
      <c r="D8" s="16" t="s">
        <v>146</v>
      </c>
      <c r="E8" s="17" t="s">
        <v>3</v>
      </c>
      <c r="F8" s="13">
        <v>310</v>
      </c>
      <c r="G8" s="13">
        <v>93</v>
      </c>
      <c r="H8" s="13">
        <v>16</v>
      </c>
      <c r="I8" s="13">
        <v>12</v>
      </c>
      <c r="J8" s="13">
        <v>1</v>
      </c>
    </row>
    <row r="9" spans="1:15" x14ac:dyDescent="0.35">
      <c r="A9" s="74"/>
      <c r="B9" s="74"/>
      <c r="C9" s="98"/>
      <c r="D9" s="16" t="s">
        <v>146</v>
      </c>
      <c r="E9" s="17" t="s">
        <v>4</v>
      </c>
      <c r="F9" s="13">
        <v>188</v>
      </c>
      <c r="G9" s="13">
        <v>147</v>
      </c>
      <c r="H9" s="13">
        <v>6</v>
      </c>
      <c r="I9" s="13">
        <v>11</v>
      </c>
      <c r="J9" s="15"/>
    </row>
    <row r="10" spans="1:15" x14ac:dyDescent="0.35">
      <c r="A10" s="74"/>
      <c r="B10" s="74"/>
      <c r="C10" s="98"/>
      <c r="D10" s="16" t="s">
        <v>146</v>
      </c>
      <c r="E10" s="17" t="s">
        <v>5</v>
      </c>
      <c r="F10" s="13">
        <v>340</v>
      </c>
      <c r="G10" s="13">
        <v>210</v>
      </c>
      <c r="H10" s="13">
        <v>18</v>
      </c>
      <c r="I10" s="13">
        <v>28</v>
      </c>
      <c r="J10" s="15"/>
    </row>
    <row r="11" spans="1:15" x14ac:dyDescent="0.35">
      <c r="A11" s="74"/>
      <c r="B11" s="74"/>
      <c r="C11" s="98"/>
      <c r="D11" s="16" t="s">
        <v>146</v>
      </c>
      <c r="E11" s="17" t="s">
        <v>6</v>
      </c>
      <c r="F11" s="13">
        <v>96</v>
      </c>
      <c r="G11" s="13">
        <v>47</v>
      </c>
      <c r="H11" s="13">
        <v>8</v>
      </c>
      <c r="I11" s="13">
        <v>11</v>
      </c>
      <c r="J11" s="13">
        <v>1</v>
      </c>
    </row>
    <row r="12" spans="1:15" x14ac:dyDescent="0.35">
      <c r="A12" s="74"/>
      <c r="B12" s="74"/>
      <c r="C12" s="98"/>
      <c r="D12" s="16" t="s">
        <v>146</v>
      </c>
      <c r="E12" s="17" t="s">
        <v>7</v>
      </c>
      <c r="F12" s="13">
        <v>213</v>
      </c>
      <c r="G12" s="13">
        <v>87</v>
      </c>
      <c r="H12" s="13">
        <v>5</v>
      </c>
      <c r="I12" s="13">
        <v>10</v>
      </c>
      <c r="J12" s="15"/>
    </row>
    <row r="13" spans="1:15" x14ac:dyDescent="0.35">
      <c r="A13" s="74"/>
      <c r="B13" s="74"/>
      <c r="C13" s="98"/>
      <c r="D13" s="16" t="s">
        <v>146</v>
      </c>
      <c r="E13" s="17" t="s">
        <v>15</v>
      </c>
      <c r="F13" s="13">
        <v>1</v>
      </c>
      <c r="G13" s="13">
        <v>4</v>
      </c>
      <c r="H13" s="15"/>
      <c r="I13" s="15"/>
      <c r="J13" s="15"/>
      <c r="K13" s="2">
        <f>SUM(F5:F13)</f>
        <v>1358</v>
      </c>
      <c r="L13" s="2">
        <f t="shared" ref="L13:O13" si="0">SUM(G5:G13)</f>
        <v>648</v>
      </c>
      <c r="M13" s="2">
        <f t="shared" si="0"/>
        <v>61</v>
      </c>
      <c r="N13" s="2">
        <f t="shared" si="0"/>
        <v>78</v>
      </c>
      <c r="O13" s="2">
        <f t="shared" si="0"/>
        <v>2</v>
      </c>
    </row>
    <row r="14" spans="1:15" x14ac:dyDescent="0.35">
      <c r="A14" s="4" t="s">
        <v>607</v>
      </c>
      <c r="B14" s="4" t="s">
        <v>608</v>
      </c>
      <c r="C14" s="99">
        <v>1838</v>
      </c>
      <c r="D14" s="16" t="s">
        <v>147</v>
      </c>
      <c r="E14" s="17" t="s">
        <v>17</v>
      </c>
      <c r="F14" s="12">
        <v>224</v>
      </c>
      <c r="G14" s="12">
        <v>76</v>
      </c>
      <c r="H14" s="12">
        <v>7</v>
      </c>
      <c r="I14" s="12">
        <v>17</v>
      </c>
      <c r="J14" s="14"/>
    </row>
    <row r="15" spans="1:15" x14ac:dyDescent="0.35">
      <c r="A15" s="80"/>
      <c r="B15" s="80"/>
      <c r="C15" s="100"/>
      <c r="D15" s="16" t="s">
        <v>147</v>
      </c>
      <c r="E15" s="17" t="s">
        <v>2</v>
      </c>
      <c r="F15" s="12">
        <v>129</v>
      </c>
      <c r="G15" s="12">
        <v>29</v>
      </c>
      <c r="H15" s="14"/>
      <c r="I15" s="12">
        <v>6</v>
      </c>
      <c r="J15" s="12">
        <v>1</v>
      </c>
    </row>
    <row r="16" spans="1:15" x14ac:dyDescent="0.35">
      <c r="A16" s="80"/>
      <c r="B16" s="80"/>
      <c r="C16" s="100"/>
      <c r="D16" s="16" t="s">
        <v>147</v>
      </c>
      <c r="E16" s="17" t="s">
        <v>3</v>
      </c>
      <c r="F16" s="12">
        <v>80</v>
      </c>
      <c r="G16" s="12">
        <v>38</v>
      </c>
      <c r="H16" s="12">
        <v>6</v>
      </c>
      <c r="I16" s="12">
        <v>11</v>
      </c>
      <c r="J16" s="12">
        <v>1</v>
      </c>
    </row>
    <row r="17" spans="1:15" x14ac:dyDescent="0.35">
      <c r="A17" s="80"/>
      <c r="B17" s="80"/>
      <c r="C17" s="100"/>
      <c r="D17" s="16" t="s">
        <v>147</v>
      </c>
      <c r="E17" s="17" t="s">
        <v>4</v>
      </c>
      <c r="F17" s="12">
        <v>23</v>
      </c>
      <c r="G17" s="12">
        <v>5</v>
      </c>
      <c r="H17" s="12">
        <v>1</v>
      </c>
      <c r="I17" s="12">
        <v>2</v>
      </c>
      <c r="J17" s="14"/>
    </row>
    <row r="18" spans="1:15" x14ac:dyDescent="0.35">
      <c r="A18" s="80"/>
      <c r="B18" s="80"/>
      <c r="C18" s="100"/>
      <c r="D18" s="16" t="s">
        <v>147</v>
      </c>
      <c r="E18" s="17" t="s">
        <v>5</v>
      </c>
      <c r="F18" s="12">
        <v>77</v>
      </c>
      <c r="G18" s="12">
        <v>18</v>
      </c>
      <c r="H18" s="14"/>
      <c r="I18" s="12">
        <v>3</v>
      </c>
      <c r="J18" s="14"/>
    </row>
    <row r="19" spans="1:15" x14ac:dyDescent="0.35">
      <c r="A19" s="80"/>
      <c r="B19" s="80"/>
      <c r="C19" s="100"/>
      <c r="D19" s="16" t="s">
        <v>147</v>
      </c>
      <c r="E19" s="17" t="s">
        <v>6</v>
      </c>
      <c r="F19" s="12">
        <v>67</v>
      </c>
      <c r="G19" s="12">
        <v>8</v>
      </c>
      <c r="H19" s="14"/>
      <c r="I19" s="14"/>
      <c r="J19" s="14"/>
    </row>
    <row r="20" spans="1:15" x14ac:dyDescent="0.35">
      <c r="A20" s="80"/>
      <c r="B20" s="80"/>
      <c r="C20" s="100"/>
      <c r="D20" s="16" t="s">
        <v>147</v>
      </c>
      <c r="E20" s="17" t="s">
        <v>7</v>
      </c>
      <c r="F20" s="12">
        <v>51</v>
      </c>
      <c r="G20" s="12">
        <v>17</v>
      </c>
      <c r="H20" s="12">
        <v>5</v>
      </c>
      <c r="I20" s="12">
        <v>5</v>
      </c>
      <c r="J20" s="14"/>
    </row>
    <row r="21" spans="1:15" x14ac:dyDescent="0.35">
      <c r="A21" s="80"/>
      <c r="B21" s="80"/>
      <c r="C21" s="100"/>
      <c r="D21" s="16" t="s">
        <v>147</v>
      </c>
      <c r="E21" s="17" t="s">
        <v>8</v>
      </c>
      <c r="F21" s="12">
        <v>53</v>
      </c>
      <c r="G21" s="12">
        <v>16</v>
      </c>
      <c r="H21" s="14"/>
      <c r="I21" s="12">
        <v>2</v>
      </c>
      <c r="J21" s="14"/>
    </row>
    <row r="22" spans="1:15" x14ac:dyDescent="0.35">
      <c r="A22" s="80"/>
      <c r="B22" s="80"/>
      <c r="C22" s="100"/>
      <c r="D22" s="16" t="s">
        <v>147</v>
      </c>
      <c r="E22" s="17" t="s">
        <v>9</v>
      </c>
      <c r="F22" s="12">
        <v>129</v>
      </c>
      <c r="G22" s="12">
        <v>6</v>
      </c>
      <c r="H22" s="12">
        <v>2</v>
      </c>
      <c r="I22" s="12">
        <v>1</v>
      </c>
      <c r="J22" s="14"/>
    </row>
    <row r="23" spans="1:15" x14ac:dyDescent="0.35">
      <c r="A23" s="80"/>
      <c r="B23" s="80"/>
      <c r="C23" s="100"/>
      <c r="D23" s="16" t="s">
        <v>147</v>
      </c>
      <c r="E23" s="17" t="s">
        <v>11</v>
      </c>
      <c r="F23" s="12">
        <v>148</v>
      </c>
      <c r="G23" s="12">
        <v>15</v>
      </c>
      <c r="H23" s="12">
        <v>6</v>
      </c>
      <c r="I23" s="12">
        <v>2</v>
      </c>
      <c r="J23" s="14"/>
    </row>
    <row r="24" spans="1:15" x14ac:dyDescent="0.35">
      <c r="A24" s="80"/>
      <c r="B24" s="80"/>
      <c r="C24" s="100"/>
      <c r="D24" s="16" t="s">
        <v>147</v>
      </c>
      <c r="E24" s="17" t="s">
        <v>12</v>
      </c>
      <c r="F24" s="12">
        <v>26</v>
      </c>
      <c r="G24" s="12">
        <v>6</v>
      </c>
      <c r="H24" s="14"/>
      <c r="I24" s="12">
        <v>2</v>
      </c>
      <c r="J24" s="14"/>
    </row>
    <row r="25" spans="1:15" x14ac:dyDescent="0.35">
      <c r="A25" s="80"/>
      <c r="B25" s="80"/>
      <c r="C25" s="100"/>
      <c r="D25" s="16" t="s">
        <v>147</v>
      </c>
      <c r="E25" s="17" t="s">
        <v>13</v>
      </c>
      <c r="F25" s="12">
        <v>166</v>
      </c>
      <c r="G25" s="12">
        <v>16</v>
      </c>
      <c r="H25" s="14"/>
      <c r="I25" s="12">
        <v>4</v>
      </c>
      <c r="J25" s="14"/>
      <c r="K25" s="2">
        <f>SUM(F14:F25)</f>
        <v>1173</v>
      </c>
      <c r="L25" s="2">
        <f t="shared" ref="L25:O25" si="1">SUM(G14:G25)</f>
        <v>250</v>
      </c>
      <c r="M25" s="2">
        <f t="shared" si="1"/>
        <v>27</v>
      </c>
      <c r="N25" s="2">
        <f t="shared" si="1"/>
        <v>55</v>
      </c>
      <c r="O25" s="2">
        <f t="shared" si="1"/>
        <v>2</v>
      </c>
    </row>
    <row r="26" spans="1:15" x14ac:dyDescent="0.35">
      <c r="A26" s="9" t="s">
        <v>609</v>
      </c>
      <c r="B26" s="9" t="s">
        <v>610</v>
      </c>
      <c r="C26" s="97">
        <v>3038</v>
      </c>
      <c r="D26" s="16" t="s">
        <v>148</v>
      </c>
      <c r="E26" s="17" t="s">
        <v>17</v>
      </c>
      <c r="F26" s="13">
        <v>98</v>
      </c>
      <c r="G26" s="13">
        <v>17</v>
      </c>
      <c r="H26" s="15"/>
      <c r="I26" s="13">
        <v>3</v>
      </c>
      <c r="J26" s="15"/>
    </row>
    <row r="27" spans="1:15" x14ac:dyDescent="0.35">
      <c r="A27" s="74"/>
      <c r="B27" s="74"/>
      <c r="C27" s="98"/>
      <c r="D27" s="16" t="s">
        <v>148</v>
      </c>
      <c r="E27" s="17" t="s">
        <v>2</v>
      </c>
      <c r="F27" s="13">
        <v>126</v>
      </c>
      <c r="G27" s="13">
        <v>4</v>
      </c>
      <c r="H27" s="15"/>
      <c r="I27" s="13">
        <v>2</v>
      </c>
      <c r="J27" s="15"/>
    </row>
    <row r="28" spans="1:15" x14ac:dyDescent="0.35">
      <c r="A28" s="74"/>
      <c r="B28" s="74"/>
      <c r="C28" s="98"/>
      <c r="D28" s="16" t="s">
        <v>148</v>
      </c>
      <c r="E28" s="17" t="s">
        <v>3</v>
      </c>
      <c r="F28" s="13">
        <v>169</v>
      </c>
      <c r="G28" s="13">
        <v>16</v>
      </c>
      <c r="H28" s="13">
        <v>15</v>
      </c>
      <c r="I28" s="13">
        <v>2</v>
      </c>
      <c r="J28" s="15"/>
    </row>
    <row r="29" spans="1:15" x14ac:dyDescent="0.35">
      <c r="A29" s="74"/>
      <c r="B29" s="74"/>
      <c r="C29" s="98"/>
      <c r="D29" s="16" t="s">
        <v>148</v>
      </c>
      <c r="E29" s="17" t="s">
        <v>4</v>
      </c>
      <c r="F29" s="13">
        <v>176</v>
      </c>
      <c r="G29" s="13">
        <v>20</v>
      </c>
      <c r="H29" s="13">
        <v>2</v>
      </c>
      <c r="I29" s="13">
        <v>2</v>
      </c>
      <c r="J29" s="15"/>
    </row>
    <row r="30" spans="1:15" x14ac:dyDescent="0.35">
      <c r="A30" s="74"/>
      <c r="B30" s="74"/>
      <c r="C30" s="98"/>
      <c r="D30" s="16" t="s">
        <v>148</v>
      </c>
      <c r="E30" s="17" t="s">
        <v>5</v>
      </c>
      <c r="F30" s="13">
        <v>142</v>
      </c>
      <c r="G30" s="13">
        <v>35</v>
      </c>
      <c r="H30" s="13">
        <v>4</v>
      </c>
      <c r="I30" s="13">
        <v>6</v>
      </c>
      <c r="J30" s="15"/>
    </row>
    <row r="31" spans="1:15" x14ac:dyDescent="0.35">
      <c r="A31" s="74"/>
      <c r="B31" s="74"/>
      <c r="C31" s="98"/>
      <c r="D31" s="16" t="s">
        <v>148</v>
      </c>
      <c r="E31" s="17" t="s">
        <v>6</v>
      </c>
      <c r="F31" s="13">
        <v>279</v>
      </c>
      <c r="G31" s="13">
        <v>39</v>
      </c>
      <c r="H31" s="13">
        <v>2</v>
      </c>
      <c r="I31" s="13">
        <v>7</v>
      </c>
      <c r="J31" s="15"/>
    </row>
    <row r="32" spans="1:15" x14ac:dyDescent="0.35">
      <c r="A32" s="74"/>
      <c r="B32" s="74"/>
      <c r="C32" s="98"/>
      <c r="D32" s="16" t="s">
        <v>148</v>
      </c>
      <c r="E32" s="17" t="s">
        <v>7</v>
      </c>
      <c r="F32" s="13">
        <v>67</v>
      </c>
      <c r="G32" s="13">
        <v>10</v>
      </c>
      <c r="H32" s="15"/>
      <c r="I32" s="13">
        <v>2</v>
      </c>
      <c r="J32" s="15"/>
    </row>
    <row r="33" spans="1:15" x14ac:dyDescent="0.35">
      <c r="A33" s="74"/>
      <c r="B33" s="74"/>
      <c r="C33" s="98"/>
      <c r="D33" s="16" t="s">
        <v>148</v>
      </c>
      <c r="E33" s="17" t="s">
        <v>8</v>
      </c>
      <c r="F33" s="13">
        <v>52</v>
      </c>
      <c r="G33" s="13">
        <v>5</v>
      </c>
      <c r="H33" s="13">
        <v>5</v>
      </c>
      <c r="I33" s="13">
        <v>3</v>
      </c>
      <c r="J33" s="15"/>
    </row>
    <row r="34" spans="1:15" x14ac:dyDescent="0.35">
      <c r="A34" s="74"/>
      <c r="B34" s="74"/>
      <c r="C34" s="98"/>
      <c r="D34" s="16" t="s">
        <v>148</v>
      </c>
      <c r="E34" s="17" t="s">
        <v>9</v>
      </c>
      <c r="F34" s="13">
        <v>167</v>
      </c>
      <c r="G34" s="13">
        <v>30</v>
      </c>
      <c r="H34" s="13">
        <v>3</v>
      </c>
      <c r="I34" s="13">
        <v>4</v>
      </c>
      <c r="J34" s="13">
        <v>1</v>
      </c>
      <c r="K34" s="2">
        <f>SUM(F26:F34)</f>
        <v>1276</v>
      </c>
      <c r="L34" s="2">
        <f t="shared" ref="L34:O34" si="2">SUM(G26:G34)</f>
        <v>176</v>
      </c>
      <c r="M34" s="2">
        <f t="shared" si="2"/>
        <v>31</v>
      </c>
      <c r="N34" s="2">
        <f t="shared" si="2"/>
        <v>31</v>
      </c>
      <c r="O34" s="2">
        <f t="shared" si="2"/>
        <v>1</v>
      </c>
    </row>
    <row r="35" spans="1:15" x14ac:dyDescent="0.35">
      <c r="A35" s="4" t="s">
        <v>611</v>
      </c>
      <c r="B35" s="4" t="s">
        <v>612</v>
      </c>
      <c r="C35" s="99">
        <v>1943</v>
      </c>
      <c r="D35" s="16" t="s">
        <v>149</v>
      </c>
      <c r="E35" s="17" t="s">
        <v>17</v>
      </c>
      <c r="F35" s="12">
        <v>111</v>
      </c>
      <c r="G35" s="12">
        <v>21</v>
      </c>
      <c r="H35" s="12">
        <v>2</v>
      </c>
      <c r="I35" s="12">
        <v>2</v>
      </c>
      <c r="J35" s="14"/>
    </row>
    <row r="36" spans="1:15" x14ac:dyDescent="0.35">
      <c r="A36" s="80"/>
      <c r="B36" s="80"/>
      <c r="C36" s="100"/>
      <c r="D36" s="16" t="s">
        <v>149</v>
      </c>
      <c r="E36" s="17" t="s">
        <v>2</v>
      </c>
      <c r="F36" s="12">
        <v>67</v>
      </c>
      <c r="G36" s="12">
        <v>21</v>
      </c>
      <c r="H36" s="14"/>
      <c r="I36" s="12">
        <v>1</v>
      </c>
      <c r="J36" s="14"/>
    </row>
    <row r="37" spans="1:15" x14ac:dyDescent="0.35">
      <c r="A37" s="80"/>
      <c r="B37" s="80"/>
      <c r="C37" s="100"/>
      <c r="D37" s="16" t="s">
        <v>149</v>
      </c>
      <c r="E37" s="17" t="s">
        <v>3</v>
      </c>
      <c r="F37" s="12">
        <v>168</v>
      </c>
      <c r="G37" s="12">
        <v>52</v>
      </c>
      <c r="H37" s="12">
        <v>4</v>
      </c>
      <c r="I37" s="12">
        <v>8</v>
      </c>
      <c r="J37" s="14"/>
    </row>
    <row r="38" spans="1:15" x14ac:dyDescent="0.35">
      <c r="A38" s="80"/>
      <c r="B38" s="80"/>
      <c r="C38" s="100"/>
      <c r="D38" s="16" t="s">
        <v>149</v>
      </c>
      <c r="E38" s="17" t="s">
        <v>4</v>
      </c>
      <c r="F38" s="12">
        <v>52</v>
      </c>
      <c r="G38" s="12">
        <v>21</v>
      </c>
      <c r="H38" s="12">
        <v>2</v>
      </c>
      <c r="I38" s="12">
        <v>3</v>
      </c>
      <c r="J38" s="14"/>
    </row>
    <row r="39" spans="1:15" x14ac:dyDescent="0.35">
      <c r="A39" s="80"/>
      <c r="B39" s="80"/>
      <c r="C39" s="100"/>
      <c r="D39" s="16" t="s">
        <v>149</v>
      </c>
      <c r="E39" s="17" t="s">
        <v>5</v>
      </c>
      <c r="F39" s="12">
        <v>75</v>
      </c>
      <c r="G39" s="12">
        <v>10</v>
      </c>
      <c r="H39" s="12">
        <v>5</v>
      </c>
      <c r="I39" s="14"/>
      <c r="J39" s="14"/>
    </row>
    <row r="40" spans="1:15" x14ac:dyDescent="0.35">
      <c r="A40" s="80"/>
      <c r="B40" s="80"/>
      <c r="C40" s="100"/>
      <c r="D40" s="16" t="s">
        <v>149</v>
      </c>
      <c r="E40" s="17" t="s">
        <v>6</v>
      </c>
      <c r="F40" s="12">
        <v>69</v>
      </c>
      <c r="G40" s="12">
        <v>24</v>
      </c>
      <c r="H40" s="12">
        <v>5</v>
      </c>
      <c r="I40" s="12">
        <v>6</v>
      </c>
      <c r="J40" s="12">
        <v>1</v>
      </c>
    </row>
    <row r="41" spans="1:15" x14ac:dyDescent="0.35">
      <c r="A41" s="80"/>
      <c r="B41" s="80"/>
      <c r="C41" s="100"/>
      <c r="D41" s="16" t="s">
        <v>149</v>
      </c>
      <c r="E41" s="17" t="s">
        <v>7</v>
      </c>
      <c r="F41" s="12">
        <v>160</v>
      </c>
      <c r="G41" s="12">
        <v>22</v>
      </c>
      <c r="H41" s="12">
        <v>3</v>
      </c>
      <c r="I41" s="12">
        <v>5</v>
      </c>
      <c r="J41" s="14"/>
    </row>
    <row r="42" spans="1:15" x14ac:dyDescent="0.35">
      <c r="A42" s="80"/>
      <c r="B42" s="80"/>
      <c r="C42" s="100"/>
      <c r="D42" s="16" t="s">
        <v>149</v>
      </c>
      <c r="E42" s="17" t="s">
        <v>8</v>
      </c>
      <c r="F42" s="12">
        <v>139</v>
      </c>
      <c r="G42" s="12">
        <v>42</v>
      </c>
      <c r="H42" s="14"/>
      <c r="I42" s="12">
        <v>5</v>
      </c>
      <c r="J42" s="14"/>
      <c r="K42" s="2">
        <f>SUM(F35:F42)</f>
        <v>841</v>
      </c>
      <c r="L42" s="2">
        <f t="shared" ref="L42:O42" si="3">SUM(G35:G42)</f>
        <v>213</v>
      </c>
      <c r="M42" s="2">
        <f t="shared" si="3"/>
        <v>21</v>
      </c>
      <c r="N42" s="2">
        <f t="shared" si="3"/>
        <v>30</v>
      </c>
      <c r="O42" s="2">
        <f t="shared" si="3"/>
        <v>1</v>
      </c>
    </row>
    <row r="43" spans="1:15" x14ac:dyDescent="0.35">
      <c r="A43" s="9" t="s">
        <v>613</v>
      </c>
      <c r="B43" s="9" t="s">
        <v>614</v>
      </c>
      <c r="C43" s="97">
        <v>1592</v>
      </c>
      <c r="D43" s="16" t="s">
        <v>150</v>
      </c>
      <c r="E43" s="17" t="s">
        <v>17</v>
      </c>
      <c r="F43" s="13">
        <v>92</v>
      </c>
      <c r="G43" s="13">
        <v>23</v>
      </c>
      <c r="H43" s="15"/>
      <c r="I43" s="13">
        <v>3</v>
      </c>
      <c r="J43" s="15"/>
    </row>
    <row r="44" spans="1:15" x14ac:dyDescent="0.35">
      <c r="A44" s="74"/>
      <c r="B44" s="74"/>
      <c r="C44" s="98"/>
      <c r="D44" s="16" t="s">
        <v>150</v>
      </c>
      <c r="E44" s="17" t="s">
        <v>2</v>
      </c>
      <c r="F44" s="13">
        <v>56</v>
      </c>
      <c r="G44" s="13">
        <v>24</v>
      </c>
      <c r="H44" s="13">
        <v>3</v>
      </c>
      <c r="I44" s="13">
        <v>10</v>
      </c>
      <c r="J44" s="13">
        <v>1</v>
      </c>
    </row>
    <row r="45" spans="1:15" x14ac:dyDescent="0.35">
      <c r="A45" s="74"/>
      <c r="B45" s="74"/>
      <c r="C45" s="98"/>
      <c r="D45" s="16" t="s">
        <v>150</v>
      </c>
      <c r="E45" s="17" t="s">
        <v>3</v>
      </c>
      <c r="F45" s="13">
        <v>41</v>
      </c>
      <c r="G45" s="13">
        <v>6</v>
      </c>
      <c r="H45" s="15"/>
      <c r="I45" s="13">
        <v>2</v>
      </c>
      <c r="J45" s="15"/>
    </row>
    <row r="46" spans="1:15" x14ac:dyDescent="0.35">
      <c r="A46" s="74"/>
      <c r="B46" s="74"/>
      <c r="C46" s="98"/>
      <c r="D46" s="16" t="s">
        <v>150</v>
      </c>
      <c r="E46" s="17" t="s">
        <v>4</v>
      </c>
      <c r="F46" s="13">
        <v>136</v>
      </c>
      <c r="G46" s="13">
        <v>44</v>
      </c>
      <c r="H46" s="15"/>
      <c r="I46" s="13">
        <v>8</v>
      </c>
      <c r="J46" s="15"/>
    </row>
    <row r="47" spans="1:15" x14ac:dyDescent="0.35">
      <c r="A47" s="74"/>
      <c r="B47" s="74"/>
      <c r="C47" s="98"/>
      <c r="D47" s="16" t="s">
        <v>150</v>
      </c>
      <c r="E47" s="17" t="s">
        <v>5</v>
      </c>
      <c r="F47" s="13">
        <v>110</v>
      </c>
      <c r="G47" s="13">
        <v>42</v>
      </c>
      <c r="H47" s="13">
        <v>5</v>
      </c>
      <c r="I47" s="13">
        <v>6</v>
      </c>
      <c r="J47" s="15"/>
    </row>
    <row r="48" spans="1:15" x14ac:dyDescent="0.35">
      <c r="A48" s="74"/>
      <c r="B48" s="74"/>
      <c r="C48" s="98"/>
      <c r="D48" s="16" t="s">
        <v>150</v>
      </c>
      <c r="E48" s="17" t="s">
        <v>6</v>
      </c>
      <c r="F48" s="13">
        <v>113</v>
      </c>
      <c r="G48" s="13">
        <v>24</v>
      </c>
      <c r="H48" s="15"/>
      <c r="I48" s="13">
        <v>3</v>
      </c>
      <c r="J48" s="15"/>
    </row>
    <row r="49" spans="1:15" x14ac:dyDescent="0.35">
      <c r="A49" s="74"/>
      <c r="B49" s="74"/>
      <c r="C49" s="98"/>
      <c r="D49" s="16" t="s">
        <v>150</v>
      </c>
      <c r="E49" s="17" t="s">
        <v>7</v>
      </c>
      <c r="F49" s="13">
        <v>25</v>
      </c>
      <c r="G49" s="13">
        <v>9</v>
      </c>
      <c r="H49" s="15"/>
      <c r="I49" s="13">
        <v>1</v>
      </c>
      <c r="J49" s="15"/>
    </row>
    <row r="50" spans="1:15" x14ac:dyDescent="0.35">
      <c r="A50" s="74"/>
      <c r="B50" s="74"/>
      <c r="C50" s="98"/>
      <c r="D50" s="16" t="s">
        <v>150</v>
      </c>
      <c r="E50" s="17" t="s">
        <v>8</v>
      </c>
      <c r="F50" s="13">
        <v>58</v>
      </c>
      <c r="G50" s="13">
        <v>27</v>
      </c>
      <c r="H50" s="15"/>
      <c r="I50" s="13">
        <v>2</v>
      </c>
      <c r="J50" s="15"/>
    </row>
    <row r="51" spans="1:15" x14ac:dyDescent="0.35">
      <c r="A51" s="74"/>
      <c r="B51" s="74"/>
      <c r="C51" s="98"/>
      <c r="D51" s="16" t="s">
        <v>150</v>
      </c>
      <c r="E51" s="17" t="s">
        <v>9</v>
      </c>
      <c r="F51" s="13">
        <v>84</v>
      </c>
      <c r="G51" s="13">
        <v>34</v>
      </c>
      <c r="H51" s="15"/>
      <c r="I51" s="13">
        <v>2</v>
      </c>
      <c r="J51" s="15"/>
    </row>
    <row r="52" spans="1:15" x14ac:dyDescent="0.35">
      <c r="A52" s="74"/>
      <c r="B52" s="74"/>
      <c r="C52" s="98"/>
      <c r="D52" s="16" t="s">
        <v>150</v>
      </c>
      <c r="E52" s="17" t="s">
        <v>11</v>
      </c>
      <c r="F52" s="13">
        <v>30</v>
      </c>
      <c r="G52" s="13">
        <v>19</v>
      </c>
      <c r="H52" s="13">
        <v>3</v>
      </c>
      <c r="I52" s="13">
        <v>2</v>
      </c>
      <c r="J52" s="15"/>
      <c r="K52" s="2">
        <f>SUM(F43:F52)</f>
        <v>745</v>
      </c>
      <c r="L52" s="2">
        <f t="shared" ref="L52:O52" si="4">SUM(G43:G52)</f>
        <v>252</v>
      </c>
      <c r="M52" s="2">
        <f t="shared" si="4"/>
        <v>11</v>
      </c>
      <c r="N52" s="2">
        <f t="shared" si="4"/>
        <v>39</v>
      </c>
      <c r="O52" s="2">
        <f t="shared" si="4"/>
        <v>1</v>
      </c>
    </row>
    <row r="53" spans="1:15" x14ac:dyDescent="0.35">
      <c r="A53" s="4" t="s">
        <v>615</v>
      </c>
      <c r="B53" s="4" t="s">
        <v>616</v>
      </c>
      <c r="C53" s="99">
        <v>2099</v>
      </c>
      <c r="D53" s="16" t="s">
        <v>151</v>
      </c>
      <c r="E53" s="17" t="s">
        <v>17</v>
      </c>
      <c r="F53" s="12">
        <v>54</v>
      </c>
      <c r="G53" s="12">
        <v>13</v>
      </c>
      <c r="H53" s="14"/>
      <c r="I53" s="12">
        <v>5</v>
      </c>
      <c r="J53" s="12">
        <v>1</v>
      </c>
    </row>
    <row r="54" spans="1:15" x14ac:dyDescent="0.35">
      <c r="A54" s="80"/>
      <c r="B54" s="80"/>
      <c r="C54" s="100"/>
      <c r="D54" s="16" t="s">
        <v>151</v>
      </c>
      <c r="E54" s="17" t="s">
        <v>2</v>
      </c>
      <c r="F54" s="12">
        <v>90</v>
      </c>
      <c r="G54" s="12">
        <v>10</v>
      </c>
      <c r="H54" s="12">
        <v>5</v>
      </c>
      <c r="I54" s="12">
        <v>1</v>
      </c>
      <c r="J54" s="14"/>
    </row>
    <row r="55" spans="1:15" x14ac:dyDescent="0.35">
      <c r="A55" s="80"/>
      <c r="B55" s="80"/>
      <c r="C55" s="100"/>
      <c r="D55" s="16" t="s">
        <v>151</v>
      </c>
      <c r="E55" s="17" t="s">
        <v>3</v>
      </c>
      <c r="F55" s="12">
        <v>87</v>
      </c>
      <c r="G55" s="12">
        <v>18</v>
      </c>
      <c r="H55" s="12">
        <v>3</v>
      </c>
      <c r="I55" s="12">
        <v>5</v>
      </c>
      <c r="J55" s="14"/>
    </row>
    <row r="56" spans="1:15" x14ac:dyDescent="0.35">
      <c r="A56" s="80"/>
      <c r="B56" s="80"/>
      <c r="C56" s="100"/>
      <c r="D56" s="16" t="s">
        <v>151</v>
      </c>
      <c r="E56" s="17" t="s">
        <v>4</v>
      </c>
      <c r="F56" s="12">
        <v>111</v>
      </c>
      <c r="G56" s="12">
        <v>25</v>
      </c>
      <c r="H56" s="12">
        <v>4</v>
      </c>
      <c r="I56" s="12">
        <v>4</v>
      </c>
      <c r="J56" s="12">
        <v>1</v>
      </c>
    </row>
    <row r="57" spans="1:15" x14ac:dyDescent="0.35">
      <c r="A57" s="80"/>
      <c r="B57" s="80"/>
      <c r="C57" s="100"/>
      <c r="D57" s="16" t="s">
        <v>151</v>
      </c>
      <c r="E57" s="17" t="s">
        <v>5</v>
      </c>
      <c r="F57" s="12">
        <v>220</v>
      </c>
      <c r="G57" s="12">
        <v>77</v>
      </c>
      <c r="H57" s="12">
        <v>3</v>
      </c>
      <c r="I57" s="12">
        <v>12</v>
      </c>
      <c r="J57" s="14"/>
    </row>
    <row r="58" spans="1:15" x14ac:dyDescent="0.35">
      <c r="A58" s="80"/>
      <c r="B58" s="80"/>
      <c r="C58" s="100"/>
      <c r="D58" s="16" t="s">
        <v>151</v>
      </c>
      <c r="E58" s="17" t="s">
        <v>6</v>
      </c>
      <c r="F58" s="12">
        <v>54</v>
      </c>
      <c r="G58" s="12">
        <v>10</v>
      </c>
      <c r="H58" s="14"/>
      <c r="I58" s="12">
        <v>3</v>
      </c>
      <c r="J58" s="14"/>
    </row>
    <row r="59" spans="1:15" x14ac:dyDescent="0.35">
      <c r="A59" s="80"/>
      <c r="B59" s="80"/>
      <c r="C59" s="100"/>
      <c r="D59" s="16" t="s">
        <v>151</v>
      </c>
      <c r="E59" s="17" t="s">
        <v>7</v>
      </c>
      <c r="F59" s="12">
        <v>101</v>
      </c>
      <c r="G59" s="12">
        <v>29</v>
      </c>
      <c r="H59" s="12">
        <v>1</v>
      </c>
      <c r="I59" s="12">
        <v>5</v>
      </c>
      <c r="J59" s="14"/>
    </row>
    <row r="60" spans="1:15" x14ac:dyDescent="0.35">
      <c r="A60" s="80"/>
      <c r="B60" s="80"/>
      <c r="C60" s="100"/>
      <c r="D60" s="16" t="s">
        <v>151</v>
      </c>
      <c r="E60" s="17" t="s">
        <v>8</v>
      </c>
      <c r="F60" s="12">
        <v>79</v>
      </c>
      <c r="G60" s="12">
        <v>18</v>
      </c>
      <c r="H60" s="12">
        <v>8</v>
      </c>
      <c r="I60" s="12">
        <v>5</v>
      </c>
      <c r="J60" s="14"/>
    </row>
    <row r="61" spans="1:15" x14ac:dyDescent="0.35">
      <c r="A61" s="80"/>
      <c r="B61" s="80"/>
      <c r="C61" s="100"/>
      <c r="D61" s="16" t="s">
        <v>151</v>
      </c>
      <c r="E61" s="17" t="s">
        <v>9</v>
      </c>
      <c r="F61" s="12">
        <v>160</v>
      </c>
      <c r="G61" s="12">
        <v>22</v>
      </c>
      <c r="H61" s="12">
        <v>3</v>
      </c>
      <c r="I61" s="12">
        <v>3</v>
      </c>
      <c r="J61" s="14"/>
    </row>
    <row r="62" spans="1:15" x14ac:dyDescent="0.35">
      <c r="A62" s="80"/>
      <c r="B62" s="80"/>
      <c r="C62" s="100"/>
      <c r="D62" s="16" t="s">
        <v>151</v>
      </c>
      <c r="E62" s="17" t="s">
        <v>11</v>
      </c>
      <c r="F62" s="12">
        <v>64</v>
      </c>
      <c r="G62" s="12">
        <v>24</v>
      </c>
      <c r="H62" s="14"/>
      <c r="I62" s="12">
        <v>3</v>
      </c>
      <c r="J62" s="14"/>
    </row>
    <row r="63" spans="1:15" x14ac:dyDescent="0.35">
      <c r="A63" s="80"/>
      <c r="B63" s="80"/>
      <c r="C63" s="100"/>
      <c r="D63" s="16" t="s">
        <v>151</v>
      </c>
      <c r="E63" s="17" t="s">
        <v>12</v>
      </c>
      <c r="F63" s="12">
        <v>129</v>
      </c>
      <c r="G63" s="12">
        <v>18</v>
      </c>
      <c r="H63" s="12">
        <v>1</v>
      </c>
      <c r="I63" s="12">
        <v>5</v>
      </c>
      <c r="J63" s="14"/>
      <c r="K63" s="2">
        <f>SUM(F53:F63)</f>
        <v>1149</v>
      </c>
      <c r="L63" s="2">
        <f t="shared" ref="L63:O63" si="5">SUM(G53:G63)</f>
        <v>264</v>
      </c>
      <c r="M63" s="2">
        <f t="shared" si="5"/>
        <v>28</v>
      </c>
      <c r="N63" s="2">
        <f t="shared" si="5"/>
        <v>51</v>
      </c>
      <c r="O63" s="2">
        <f t="shared" si="5"/>
        <v>2</v>
      </c>
    </row>
    <row r="64" spans="1:15" x14ac:dyDescent="0.35">
      <c r="A64" s="9" t="s">
        <v>617</v>
      </c>
      <c r="B64" s="9" t="s">
        <v>618</v>
      </c>
      <c r="C64" s="97">
        <v>2189</v>
      </c>
      <c r="D64" s="16" t="s">
        <v>152</v>
      </c>
      <c r="E64" s="17" t="s">
        <v>17</v>
      </c>
      <c r="F64" s="13">
        <v>119</v>
      </c>
      <c r="G64" s="13">
        <v>9</v>
      </c>
      <c r="H64" s="15"/>
      <c r="I64" s="13">
        <v>1</v>
      </c>
      <c r="J64" s="15"/>
    </row>
    <row r="65" spans="1:15" x14ac:dyDescent="0.35">
      <c r="A65" s="74"/>
      <c r="B65" s="74"/>
      <c r="C65" s="98"/>
      <c r="D65" s="16" t="s">
        <v>152</v>
      </c>
      <c r="E65" s="17" t="s">
        <v>2</v>
      </c>
      <c r="F65" s="13">
        <v>12</v>
      </c>
      <c r="G65" s="13">
        <v>5</v>
      </c>
      <c r="H65" s="13">
        <v>1</v>
      </c>
      <c r="I65" s="13">
        <v>4</v>
      </c>
      <c r="J65" s="15"/>
    </row>
    <row r="66" spans="1:15" x14ac:dyDescent="0.35">
      <c r="A66" s="74"/>
      <c r="B66" s="74"/>
      <c r="C66" s="98"/>
      <c r="D66" s="16" t="s">
        <v>152</v>
      </c>
      <c r="E66" s="17" t="s">
        <v>3</v>
      </c>
      <c r="F66" s="13">
        <v>121</v>
      </c>
      <c r="G66" s="13">
        <v>37</v>
      </c>
      <c r="H66" s="13">
        <v>4</v>
      </c>
      <c r="I66" s="13">
        <v>2</v>
      </c>
      <c r="J66" s="13">
        <v>1</v>
      </c>
    </row>
    <row r="67" spans="1:15" x14ac:dyDescent="0.35">
      <c r="A67" s="74"/>
      <c r="B67" s="74"/>
      <c r="C67" s="98"/>
      <c r="D67" s="16" t="s">
        <v>152</v>
      </c>
      <c r="E67" s="17" t="s">
        <v>4</v>
      </c>
      <c r="F67" s="13">
        <v>111</v>
      </c>
      <c r="G67" s="13">
        <v>12</v>
      </c>
      <c r="H67" s="13">
        <v>2</v>
      </c>
      <c r="I67" s="13">
        <v>5</v>
      </c>
      <c r="J67" s="15"/>
    </row>
    <row r="68" spans="1:15" x14ac:dyDescent="0.35">
      <c r="A68" s="74"/>
      <c r="B68" s="74"/>
      <c r="C68" s="98"/>
      <c r="D68" s="16" t="s">
        <v>152</v>
      </c>
      <c r="E68" s="17" t="s">
        <v>5</v>
      </c>
      <c r="F68" s="13">
        <v>285</v>
      </c>
      <c r="G68" s="13">
        <v>50</v>
      </c>
      <c r="H68" s="13">
        <v>10</v>
      </c>
      <c r="I68" s="13">
        <v>10</v>
      </c>
      <c r="J68" s="15"/>
    </row>
    <row r="69" spans="1:15" x14ac:dyDescent="0.35">
      <c r="A69" s="74"/>
      <c r="B69" s="74"/>
      <c r="C69" s="98"/>
      <c r="D69" s="16" t="s">
        <v>152</v>
      </c>
      <c r="E69" s="17" t="s">
        <v>6</v>
      </c>
      <c r="F69" s="13">
        <v>105</v>
      </c>
      <c r="G69" s="13">
        <v>37</v>
      </c>
      <c r="H69" s="13">
        <v>6</v>
      </c>
      <c r="I69" s="13">
        <v>9</v>
      </c>
      <c r="J69" s="13">
        <v>1</v>
      </c>
    </row>
    <row r="70" spans="1:15" x14ac:dyDescent="0.35">
      <c r="A70" s="74"/>
      <c r="B70" s="74"/>
      <c r="C70" s="98"/>
      <c r="D70" s="16" t="s">
        <v>152</v>
      </c>
      <c r="E70" s="17" t="s">
        <v>7</v>
      </c>
      <c r="F70" s="13">
        <v>140</v>
      </c>
      <c r="G70" s="13">
        <v>13</v>
      </c>
      <c r="H70" s="15"/>
      <c r="I70" s="13">
        <v>1</v>
      </c>
      <c r="J70" s="15"/>
    </row>
    <row r="71" spans="1:15" x14ac:dyDescent="0.35">
      <c r="A71" s="74"/>
      <c r="B71" s="74"/>
      <c r="C71" s="98"/>
      <c r="D71" s="16" t="s">
        <v>152</v>
      </c>
      <c r="E71" s="17" t="s">
        <v>8</v>
      </c>
      <c r="F71" s="13">
        <v>243</v>
      </c>
      <c r="G71" s="13">
        <v>22</v>
      </c>
      <c r="H71" s="13">
        <v>1</v>
      </c>
      <c r="I71" s="13">
        <v>3</v>
      </c>
      <c r="J71" s="15"/>
      <c r="K71" s="2">
        <f>SUM(F64:F71)</f>
        <v>1136</v>
      </c>
      <c r="L71" s="2">
        <f t="shared" ref="L71:O71" si="6">SUM(G64:G71)</f>
        <v>185</v>
      </c>
      <c r="M71" s="2">
        <f t="shared" si="6"/>
        <v>24</v>
      </c>
      <c r="N71" s="2">
        <f t="shared" si="6"/>
        <v>35</v>
      </c>
      <c r="O71" s="2">
        <f t="shared" si="6"/>
        <v>2</v>
      </c>
    </row>
    <row r="72" spans="1:15" x14ac:dyDescent="0.35">
      <c r="A72" s="4" t="s">
        <v>619</v>
      </c>
      <c r="B72" s="4" t="s">
        <v>620</v>
      </c>
      <c r="C72" s="99">
        <v>1540</v>
      </c>
      <c r="D72" s="16" t="s">
        <v>153</v>
      </c>
      <c r="E72" s="17" t="s">
        <v>17</v>
      </c>
      <c r="F72" s="12">
        <v>160</v>
      </c>
      <c r="G72" s="12">
        <v>14</v>
      </c>
      <c r="H72" s="12">
        <v>1</v>
      </c>
      <c r="I72" s="12">
        <v>5</v>
      </c>
      <c r="J72" s="14"/>
    </row>
    <row r="73" spans="1:15" x14ac:dyDescent="0.35">
      <c r="A73" s="80"/>
      <c r="B73" s="80"/>
      <c r="C73" s="100"/>
      <c r="D73" s="16" t="s">
        <v>153</v>
      </c>
      <c r="E73" s="17" t="s">
        <v>2</v>
      </c>
      <c r="F73" s="12">
        <v>166</v>
      </c>
      <c r="G73" s="12">
        <v>26</v>
      </c>
      <c r="H73" s="12">
        <v>2</v>
      </c>
      <c r="I73" s="12">
        <v>8</v>
      </c>
      <c r="J73" s="14"/>
    </row>
    <row r="74" spans="1:15" x14ac:dyDescent="0.35">
      <c r="A74" s="80"/>
      <c r="B74" s="80"/>
      <c r="C74" s="100"/>
      <c r="D74" s="16" t="s">
        <v>153</v>
      </c>
      <c r="E74" s="17" t="s">
        <v>3</v>
      </c>
      <c r="F74" s="12">
        <v>60</v>
      </c>
      <c r="G74" s="12">
        <v>5</v>
      </c>
      <c r="H74" s="12">
        <v>3</v>
      </c>
      <c r="I74" s="12">
        <v>1</v>
      </c>
      <c r="J74" s="12">
        <v>1</v>
      </c>
    </row>
    <row r="75" spans="1:15" x14ac:dyDescent="0.35">
      <c r="A75" s="80"/>
      <c r="B75" s="80"/>
      <c r="C75" s="100"/>
      <c r="D75" s="16" t="s">
        <v>153</v>
      </c>
      <c r="E75" s="17" t="s">
        <v>4</v>
      </c>
      <c r="F75" s="12">
        <v>116</v>
      </c>
      <c r="G75" s="12">
        <v>8</v>
      </c>
      <c r="H75" s="12">
        <v>4</v>
      </c>
      <c r="I75" s="12">
        <v>2</v>
      </c>
      <c r="J75" s="14"/>
    </row>
    <row r="76" spans="1:15" x14ac:dyDescent="0.35">
      <c r="A76" s="80"/>
      <c r="B76" s="80"/>
      <c r="C76" s="100"/>
      <c r="D76" s="16" t="s">
        <v>153</v>
      </c>
      <c r="E76" s="17" t="s">
        <v>5</v>
      </c>
      <c r="F76" s="12">
        <v>51</v>
      </c>
      <c r="G76" s="12">
        <v>21</v>
      </c>
      <c r="H76" s="14"/>
      <c r="I76" s="14"/>
      <c r="J76" s="14"/>
    </row>
    <row r="77" spans="1:15" x14ac:dyDescent="0.35">
      <c r="A77" s="80"/>
      <c r="B77" s="80"/>
      <c r="C77" s="100"/>
      <c r="D77" s="16" t="s">
        <v>153</v>
      </c>
      <c r="E77" s="17" t="s">
        <v>6</v>
      </c>
      <c r="F77" s="12">
        <v>86</v>
      </c>
      <c r="G77" s="12">
        <v>5</v>
      </c>
      <c r="H77" s="14"/>
      <c r="I77" s="12">
        <v>2</v>
      </c>
      <c r="J77" s="14"/>
    </row>
    <row r="78" spans="1:15" x14ac:dyDescent="0.35">
      <c r="A78" s="80"/>
      <c r="B78" s="80"/>
      <c r="C78" s="100"/>
      <c r="D78" s="16" t="s">
        <v>153</v>
      </c>
      <c r="E78" s="17" t="s">
        <v>7</v>
      </c>
      <c r="F78" s="12">
        <v>83</v>
      </c>
      <c r="G78" s="12">
        <v>29</v>
      </c>
      <c r="H78" s="14"/>
      <c r="I78" s="14"/>
      <c r="J78" s="14"/>
      <c r="K78" s="2">
        <f>SUM(F72:F78)</f>
        <v>722</v>
      </c>
      <c r="L78" s="2">
        <f t="shared" ref="L78:O78" si="7">SUM(G72:G78)</f>
        <v>108</v>
      </c>
      <c r="M78" s="2">
        <f t="shared" si="7"/>
        <v>10</v>
      </c>
      <c r="N78" s="2">
        <f t="shared" si="7"/>
        <v>18</v>
      </c>
      <c r="O78" s="2">
        <f t="shared" si="7"/>
        <v>1</v>
      </c>
    </row>
    <row r="79" spans="1:15" x14ac:dyDescent="0.35">
      <c r="A79" s="81"/>
      <c r="B79" s="81" t="s">
        <v>723</v>
      </c>
      <c r="C79" s="106">
        <f>SUM(C5:C72)</f>
        <v>19785</v>
      </c>
      <c r="D79" s="304" t="s">
        <v>231</v>
      </c>
      <c r="E79" s="305"/>
      <c r="F79" s="20">
        <f>SUM(F6:F78)</f>
        <v>8400</v>
      </c>
      <c r="G79" s="20">
        <f>SUM(G6:G78)</f>
        <v>2092</v>
      </c>
      <c r="H79" s="20">
        <f>SUM(H6:H78)</f>
        <v>213</v>
      </c>
      <c r="I79" s="20">
        <f>SUM(I6:I78)</f>
        <v>337</v>
      </c>
      <c r="J79" s="20">
        <f>SUM(J6:J78)</f>
        <v>12</v>
      </c>
    </row>
    <row r="80" spans="1:15" x14ac:dyDescent="0.35">
      <c r="A80" s="306" t="s">
        <v>739</v>
      </c>
      <c r="B80" s="306"/>
      <c r="C80" s="106">
        <f>SUM(C79,F79,G79,H79,I79,J79)</f>
        <v>30839</v>
      </c>
    </row>
  </sheetData>
  <mergeCells count="7">
    <mergeCell ref="A80:B80"/>
    <mergeCell ref="D1:J1"/>
    <mergeCell ref="D2:J2"/>
    <mergeCell ref="D79:E79"/>
    <mergeCell ref="F3:J3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size="22" baseType="lpstr">
      <vt:lpstr>อยุธยาแก้</vt:lpstr>
      <vt:lpstr>ท่าเริอ แก้</vt:lpstr>
      <vt:lpstr>นครหลวง</vt:lpstr>
      <vt:lpstr>บางไทร</vt:lpstr>
      <vt:lpstr>บางบาล</vt:lpstr>
      <vt:lpstr>บางปะอิน</vt:lpstr>
      <vt:lpstr>บางปะหัน"</vt:lpstr>
      <vt:lpstr>ผักไห่ แก้</vt:lpstr>
      <vt:lpstr>ภาชี</vt:lpstr>
      <vt:lpstr>ลาดบัวหลวง แก้</vt:lpstr>
      <vt:lpstr>วังน้อย</vt:lpstr>
      <vt:lpstr>เสนาแก้</vt:lpstr>
      <vt:lpstr>บางซ้ายแก้</vt:lpstr>
      <vt:lpstr>อุทัยแก้</vt:lpstr>
      <vt:lpstr>มหาราช</vt:lpstr>
      <vt:lpstr>บ้านแพรก</vt:lpstr>
      <vt:lpstr>พื้นที่รอยต่อ</vt:lpstr>
      <vt:lpstr>หน่วยบริการประจำ</vt:lpstr>
      <vt:lpstr>total (OK)</vt:lpstr>
      <vt:lpstr>pivot</vt:lpstr>
      <vt:lpstr>Sheet1</vt:lpstr>
      <vt:lpstr>'ลาดบัวหลวง แก้'!Print_Titles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2020-05-21T05:50:44Z</cp:lastPrinted>
  <dcterms:created xsi:type="dcterms:W3CDTF">2019-05-22T03:32:30Z</dcterms:created>
  <dcterms:modified xsi:type="dcterms:W3CDTF">2020-10-19T03:24:24Z</dcterms:modified>
</cp:coreProperties>
</file>